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32760" windowWidth="13395" windowHeight="12735" tabRatio="821" activeTab="5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鄉預出續" sheetId="7" r:id="rId7"/>
    <sheet name="6-3-1鄉預出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0">'6-1'!$A$1:$R$47</definedName>
    <definedName name="_xlnm.Print_Area" localSheetId="1">'6-1-支'!$A$1:$AL$46</definedName>
    <definedName name="_xlnm.Print_Area" localSheetId="3">'6-2-1鄉預入'!$A$1:$O$69</definedName>
    <definedName name="_xlnm.Print_Area" localSheetId="4">'6-2鄉決入'!$A$1:$O$34</definedName>
    <definedName name="_xlnm.Print_Area" localSheetId="2">'6-2鄉預入'!$A$1:$O$77</definedName>
    <definedName name="_xlnm.Print_Area" localSheetId="8">'6-3-1鄉預出續'!$A$1:$O$64</definedName>
    <definedName name="_xlnm.Print_Area" localSheetId="9">'6-3鄉決出'!$A$1:$P$34</definedName>
    <definedName name="_xlnm.Print_Area" localSheetId="10">'6-3鄉決出續'!$A$1:$O$35</definedName>
    <definedName name="_xlnm.Print_Area" localSheetId="5">'6-3鄉預出'!$A$1:$P$65</definedName>
    <definedName name="_xlnm.Print_Area" localSheetId="6">'6-3鄉預出續'!$A$1:$O$65</definedName>
  </definedNames>
  <calcPr fullCalcOnLoad="1"/>
</workbook>
</file>

<file path=xl/sharedStrings.xml><?xml version="1.0" encoding="utf-8"?>
<sst xmlns="http://schemas.openxmlformats.org/spreadsheetml/2006/main" count="1395" uniqueCount="549">
  <si>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</si>
  <si>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</si>
  <si>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</si>
  <si>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</si>
  <si>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</si>
  <si>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</si>
  <si>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</si>
  <si>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</si>
  <si>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</si>
  <si>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</si>
  <si>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</si>
  <si>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</si>
  <si>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</si>
  <si>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</si>
  <si>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</si>
  <si>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</si>
  <si>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</si>
  <si>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</si>
  <si>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</si>
  <si>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</si>
  <si>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</si>
  <si>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</si>
  <si>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</si>
  <si>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</si>
  <si>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</si>
  <si>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</si>
  <si>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</si>
  <si>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</si>
  <si>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</si>
  <si>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</si>
  <si>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</si>
  <si>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</si>
  <si>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</si>
  <si>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</si>
  <si>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</si>
  <si>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</si>
  <si>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</si>
  <si>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</si>
  <si>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</si>
  <si>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</si>
  <si>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</si>
  <si>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</si>
  <si>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</si>
  <si>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</si>
  <si>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</si>
  <si>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</si>
  <si>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</si>
  <si>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</si>
  <si>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</si>
  <si>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</si>
  <si>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</si>
  <si>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</si>
  <si>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</si>
  <si>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</si>
  <si>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</si>
  <si>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t>單位：新台幣千元</t>
  </si>
  <si>
    <t>原  預  算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</si>
  <si>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</si>
  <si>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</si>
  <si>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</si>
  <si>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</si>
  <si>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</si>
  <si>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</si>
  <si>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</si>
  <si>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</si>
  <si>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</si>
  <si>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</si>
  <si>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</si>
  <si>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</si>
  <si>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</si>
  <si>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</si>
  <si>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</si>
  <si>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</si>
  <si>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</si>
  <si>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</si>
  <si>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</si>
  <si>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</si>
  <si>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</si>
  <si>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</si>
  <si>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</si>
  <si>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</si>
  <si>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</si>
  <si>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</si>
  <si>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</si>
  <si>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</si>
  <si>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</si>
  <si>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</si>
  <si>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</si>
  <si>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</si>
  <si>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</si>
  <si>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</si>
  <si>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</si>
  <si>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</si>
  <si>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</si>
  <si>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</si>
  <si>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</si>
  <si>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</si>
  <si>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</si>
  <si>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</si>
  <si>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</si>
  <si>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</si>
  <si>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</si>
  <si>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</si>
  <si>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</si>
  <si>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</si>
  <si>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</si>
  <si>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</si>
  <si>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</si>
  <si>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</si>
  <si>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</si>
  <si>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</si>
  <si>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</si>
  <si>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</si>
  <si>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</si>
  <si>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</si>
  <si>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</si>
  <si>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</si>
  <si>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</si>
  <si>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</si>
  <si>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</si>
  <si>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</si>
  <si>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</si>
  <si>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</si>
  <si>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</si>
  <si>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</si>
  <si>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</si>
  <si>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</si>
  <si>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</si>
  <si>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</si>
  <si>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</si>
  <si>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</si>
  <si>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</si>
  <si>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</si>
  <si>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</si>
  <si>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</si>
  <si>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</si>
  <si>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</si>
  <si>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</si>
  <si>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</si>
  <si>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</si>
  <si>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</si>
  <si>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</si>
  <si>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</si>
  <si>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</si>
  <si>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</si>
  <si>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</si>
  <si>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</si>
  <si>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</si>
  <si>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</si>
  <si>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</si>
  <si>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</si>
  <si>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</si>
  <si>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</si>
  <si>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</si>
  <si>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</si>
  <si>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</si>
  <si>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</si>
  <si>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</si>
  <si>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</si>
  <si>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</si>
  <si>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</si>
  <si>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</si>
  <si>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</si>
  <si>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</si>
  <si>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</si>
  <si>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</si>
  <si>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</si>
  <si>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</si>
  <si>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</si>
  <si>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</si>
  <si>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</si>
  <si>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</si>
  <si>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</si>
  <si>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</si>
  <si>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</si>
  <si>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</si>
  <si>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</si>
  <si>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</si>
  <si>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</si>
  <si>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</si>
  <si>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</si>
  <si>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</si>
  <si>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</si>
  <si>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</si>
  <si>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</si>
  <si>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</si>
  <si>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</si>
  <si>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</si>
  <si>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</si>
  <si>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</si>
  <si>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</si>
  <si>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</si>
  <si>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</si>
  <si>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</si>
  <si>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</si>
  <si>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</si>
  <si>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</si>
  <si>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</si>
  <si>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</si>
  <si>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</si>
  <si>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</si>
  <si>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</si>
  <si>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</si>
  <si>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</si>
  <si>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</si>
  <si>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</si>
  <si>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</si>
  <si>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</si>
  <si>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</si>
  <si>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</si>
  <si>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</si>
  <si>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</si>
  <si>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</si>
  <si>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</si>
  <si>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</si>
  <si>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</si>
  <si>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</si>
  <si>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</si>
  <si>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</si>
  <si>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</si>
  <si>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</si>
  <si>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</si>
  <si>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</si>
  <si>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</si>
  <si>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</si>
  <si>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</si>
  <si>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</si>
  <si>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</si>
  <si>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</si>
  <si>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</si>
  <si>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</si>
  <si>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</si>
  <si>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</si>
  <si>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</si>
  <si>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</si>
  <si>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</si>
  <si>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</si>
  <si>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</si>
  <si>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</si>
  <si>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</si>
  <si>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</si>
  <si>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</si>
  <si>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</si>
  <si>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</si>
  <si>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</si>
  <si>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</si>
  <si>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</si>
  <si>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</si>
  <si>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</si>
  <si>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</si>
  <si>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</si>
  <si>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</si>
  <si>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</si>
  <si>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</si>
  <si>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</si>
  <si>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</si>
  <si>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</si>
  <si>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</si>
  <si>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</si>
  <si>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</si>
  <si>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</si>
  <si>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</si>
  <si>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</si>
  <si>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</si>
  <si>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</si>
  <si>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</si>
  <si>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</si>
  <si>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</si>
  <si>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</si>
  <si>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</si>
  <si>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</si>
  <si>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</si>
  <si>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</si>
  <si>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</si>
  <si>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</si>
  <si>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</si>
  <si>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</si>
  <si>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</si>
  <si>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</si>
  <si>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</si>
  <si>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</si>
  <si>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</si>
  <si>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</si>
  <si>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</si>
  <si>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</si>
  <si>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</si>
  <si>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</si>
  <si>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</si>
  <si>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</si>
  <si>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</si>
  <si>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</si>
  <si>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</si>
  <si>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</si>
  <si>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</si>
  <si>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</si>
  <si>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</si>
  <si>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</si>
  <si>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</si>
  <si>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</si>
  <si>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</si>
  <si>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</si>
  <si>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</si>
  <si>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</si>
  <si>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</si>
  <si>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</si>
  <si>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</si>
  <si>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</si>
  <si>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</si>
  <si>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</si>
  <si>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</si>
  <si>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</si>
  <si>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</si>
  <si>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</si>
  <si>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</si>
  <si>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</si>
  <si>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</si>
  <si>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</si>
  <si>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</si>
  <si>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</si>
  <si>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</si>
  <si>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</si>
  <si>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</si>
  <si>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</si>
  <si>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</si>
  <si>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</si>
  <si>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</si>
  <si>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</si>
  <si>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</si>
  <si>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</si>
  <si>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</si>
  <si>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</si>
  <si>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</si>
  <si>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</si>
  <si>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</si>
  <si>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</si>
  <si>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</si>
  <si>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</si>
  <si>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</si>
  <si>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</si>
  <si>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</si>
  <si>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</si>
  <si>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</si>
  <si>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</si>
  <si>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</si>
  <si>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</si>
  <si>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</si>
  <si>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</si>
  <si>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</si>
  <si>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</si>
  <si>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</si>
  <si>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</si>
  <si>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</si>
  <si>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</si>
  <si>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</si>
  <si>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</si>
  <si>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</si>
  <si>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</si>
  <si>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</si>
  <si>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</si>
  <si>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</si>
  <si>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</si>
  <si>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</si>
  <si>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</si>
  <si>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</si>
  <si>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</si>
  <si>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</si>
  <si>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</si>
  <si>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</si>
  <si>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</si>
  <si>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</si>
  <si>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</si>
  <si>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</si>
  <si>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</si>
  <si>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</si>
  <si>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</si>
  <si>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</si>
  <si>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</si>
  <si>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</si>
  <si>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</si>
  <si>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</si>
  <si>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</si>
  <si>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</si>
  <si>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</si>
  <si>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</si>
  <si>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</si>
  <si>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</si>
  <si>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</si>
  <si>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</si>
  <si>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</si>
  <si>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</si>
  <si>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</si>
  <si>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</si>
  <si>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</si>
  <si>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</si>
  <si>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</si>
  <si>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</si>
  <si>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</si>
  <si>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</si>
  <si>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</si>
  <si>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</si>
  <si>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</si>
  <si>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</si>
  <si>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</si>
  <si>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</si>
  <si>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</si>
  <si>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</si>
  <si>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</si>
  <si>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</si>
  <si>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</si>
  <si>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</si>
  <si>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</si>
  <si>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</si>
  <si>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</si>
  <si>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</si>
  <si>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</si>
  <si>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</si>
  <si>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</si>
  <si>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</si>
  <si>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</si>
  <si>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</si>
  <si>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</si>
  <si>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</si>
  <si>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</si>
  <si>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</si>
  <si>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</si>
  <si>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</si>
  <si>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</si>
  <si>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</si>
  <si>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</si>
  <si>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</si>
  <si>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</si>
  <si>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</si>
  <si>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</si>
  <si>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</si>
  <si>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</si>
  <si>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</si>
  <si>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</si>
  <si>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</si>
  <si>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</si>
  <si>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</si>
  <si>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</si>
  <si>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</si>
  <si>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</si>
  <si>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</si>
  <si>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</si>
  <si>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</si>
  <si>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</si>
  <si>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</si>
  <si>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</si>
  <si>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</si>
  <si>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</si>
  <si>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</si>
  <si>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</si>
  <si>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</si>
  <si>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</si>
  <si>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</si>
  <si>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</si>
  <si>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</si>
  <si>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</si>
  <si>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</si>
  <si>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</si>
  <si>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</si>
  <si>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</si>
  <si>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</si>
  <si>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</si>
  <si>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</si>
  <si>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</si>
  <si>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</si>
  <si>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</si>
  <si>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</si>
  <si>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</si>
  <si>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</si>
  <si>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</si>
  <si>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</si>
  <si>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</si>
  <si>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</si>
  <si>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</si>
  <si>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</si>
  <si>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</si>
  <si>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</si>
  <si>
    <t>106年度</t>
  </si>
  <si>
    <t>105年度</t>
  </si>
  <si>
    <t>106年度</t>
  </si>
  <si>
    <t>2017</t>
  </si>
  <si>
    <t>2017</t>
  </si>
  <si>
    <t>Administrative Expenditure</t>
  </si>
  <si>
    <t>107年度</t>
  </si>
  <si>
    <t>.</t>
  </si>
  <si>
    <t>.</t>
  </si>
  <si>
    <t>2018</t>
  </si>
  <si>
    <t>立法支出</t>
  </si>
  <si>
    <t>107年度</t>
  </si>
  <si>
    <t>2018</t>
  </si>
  <si>
    <t>立法支出</t>
  </si>
  <si>
    <t xml:space="preserve">  </t>
  </si>
  <si>
    <t>108年度</t>
  </si>
  <si>
    <t>2019</t>
  </si>
  <si>
    <t>108年度</t>
  </si>
  <si>
    <t>2019</t>
  </si>
  <si>
    <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算</t>
    </r>
  </si>
  <si>
    <t>109年度</t>
  </si>
  <si>
    <t>109年度</t>
  </si>
  <si>
    <t>2020</t>
  </si>
  <si>
    <t>2020</t>
  </si>
  <si>
    <t>100年度</t>
  </si>
  <si>
    <t>2021</t>
  </si>
  <si>
    <t>2021</t>
  </si>
  <si>
    <t>110年度</t>
  </si>
  <si>
    <t>Final</t>
  </si>
  <si>
    <t>110年度</t>
  </si>
  <si>
    <t>Final</t>
  </si>
  <si>
    <t>110年度</t>
  </si>
  <si>
    <t>Sep.</t>
  </si>
  <si>
    <t>Oct.</t>
  </si>
  <si>
    <t>Nov.</t>
  </si>
  <si>
    <t>十二月</t>
  </si>
  <si>
    <t>Dec.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</si>
  <si>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</si>
  <si>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</si>
  <si>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</si>
  <si>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</si>
  <si>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</si>
  <si>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</si>
  <si>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</si>
  <si>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</si>
  <si>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</si>
  <si>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</si>
  <si>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</si>
  <si>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十二月</t>
  </si>
  <si>
    <t>Dec.</t>
  </si>
  <si>
    <t>一　月</t>
  </si>
  <si>
    <t>二　月</t>
  </si>
  <si>
    <t>Feb.</t>
  </si>
  <si>
    <t>二　月</t>
  </si>
  <si>
    <t>Mar.</t>
  </si>
  <si>
    <t>Apr.</t>
  </si>
  <si>
    <t>May</t>
  </si>
  <si>
    <t>May</t>
  </si>
  <si>
    <t>June</t>
  </si>
  <si>
    <t>June</t>
  </si>
  <si>
    <t>July</t>
  </si>
  <si>
    <t>Aug.</t>
  </si>
  <si>
    <t>九　月</t>
  </si>
  <si>
    <t>111年度</t>
  </si>
  <si>
    <t>2022</t>
  </si>
  <si>
    <t>111年度</t>
  </si>
  <si>
    <t>111年度</t>
  </si>
  <si>
    <t>2022</t>
  </si>
  <si>
    <t>原  預  算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</si>
</sst>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9" fillId="22" borderId="9" applyNumberFormat="0" applyAlignment="0" applyProtection="0"/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 horizontal="center" vertical="center"/>
    </xf>
    <xf numFmtId="41" fontId="5" fillId="0" borderId="0" xfId="34" applyNumberFormat="1" applyFont="1" applyBorder="1" applyAlignment="1" quotePrefix="1">
      <alignment horizontal="center" vertical="center"/>
    </xf>
    <xf numFmtId="41" fontId="5" fillId="0" borderId="0" xfId="34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2" fillId="0" borderId="18" xfId="0" applyNumberFormat="1" applyFont="1" applyBorder="1" applyAlignment="1">
      <alignment horizontal="center" wrapText="1"/>
    </xf>
    <xf numFmtId="43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 quotePrefix="1">
      <alignment horizontal="center" vertical="center" wrapText="1"/>
    </xf>
    <xf numFmtId="43" fontId="5" fillId="0" borderId="0" xfId="34" applyFont="1" applyFill="1" applyBorder="1" applyAlignment="1">
      <alignment horizontal="right" vertical="center"/>
    </xf>
    <xf numFmtId="43" fontId="18" fillId="0" borderId="11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41" fontId="19" fillId="0" borderId="2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top" wrapText="1"/>
    </xf>
    <xf numFmtId="41" fontId="19" fillId="0" borderId="2" xfId="0" applyNumberFormat="1" applyFont="1" applyBorder="1" applyAlignment="1">
      <alignment horizontal="center" vertical="top" wrapText="1"/>
    </xf>
    <xf numFmtId="41" fontId="11" fillId="0" borderId="2" xfId="0" applyNumberFormat="1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top" wrapText="1"/>
    </xf>
    <xf numFmtId="41" fontId="11" fillId="0" borderId="2" xfId="0" applyNumberFormat="1" applyFont="1" applyBorder="1" applyAlignment="1">
      <alignment horizontal="center" vertical="center" wrapText="1"/>
    </xf>
    <xf numFmtId="41" fontId="19" fillId="0" borderId="14" xfId="0" applyNumberFormat="1" applyFont="1" applyBorder="1" applyAlignment="1">
      <alignment horizontal="center" vertical="top" wrapText="1"/>
    </xf>
    <xf numFmtId="41" fontId="2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quotePrefix="1">
      <alignment horizontal="center" vertical="center"/>
    </xf>
    <xf numFmtId="49" fontId="6" fillId="0" borderId="0" xfId="0" applyNumberFormat="1" applyFont="1" applyBorder="1" applyAlignment="1" quotePrefix="1">
      <alignment horizontal="center" vertical="center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1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3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zoomScale="120" zoomScaleNormal="120" zoomScalePageLayoutView="0" workbookViewId="0" topLeftCell="A4">
      <pane ySplit="1" topLeftCell="A24" activePane="bottomLeft" state="frozen"/>
      <selection pane="topLeft" activeCell="A4" sqref="A4"/>
      <selection pane="bottomLeft" activeCell="D23" sqref="D23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875" style="27" customWidth="1"/>
    <col min="14" max="14" width="9.25390625" style="27" customWidth="1"/>
    <col min="15" max="15" width="9.75390625" style="27" customWidth="1"/>
    <col min="16" max="16" width="8.1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450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304" t="s">
        <v>451</v>
      </c>
      <c r="R1" s="304"/>
      <c r="S1" s="4"/>
    </row>
    <row r="2" spans="1:18" s="7" customFormat="1" ht="26.25" customHeight="1">
      <c r="A2" s="8"/>
      <c r="B2" s="134" t="s">
        <v>103</v>
      </c>
      <c r="C2" s="9"/>
      <c r="D2" s="9"/>
      <c r="E2" s="9"/>
      <c r="F2" s="9"/>
      <c r="G2" s="9"/>
      <c r="H2" s="134"/>
      <c r="K2" s="134" t="s">
        <v>105</v>
      </c>
      <c r="L2" s="135"/>
      <c r="M2" s="9"/>
      <c r="N2" s="9"/>
      <c r="O2" s="9"/>
      <c r="P2" s="9"/>
      <c r="Q2" s="136"/>
      <c r="R2" s="10"/>
    </row>
    <row r="3" spans="1:18" s="15" customFormat="1" ht="16.5">
      <c r="A3" s="11"/>
      <c r="B3" s="13" t="s">
        <v>104</v>
      </c>
      <c r="C3" s="13"/>
      <c r="D3" s="13"/>
      <c r="E3" s="13"/>
      <c r="F3" s="13"/>
      <c r="G3" s="13"/>
      <c r="H3" s="13"/>
      <c r="I3" s="12"/>
      <c r="J3" s="7"/>
      <c r="K3" s="13" t="s">
        <v>106</v>
      </c>
      <c r="L3" s="13"/>
      <c r="M3" s="13"/>
      <c r="N3" s="13"/>
      <c r="O3" s="13"/>
      <c r="P3" s="13"/>
      <c r="Q3" s="136"/>
      <c r="R3" s="14"/>
    </row>
    <row r="4" spans="1:18" s="7" customFormat="1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100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3" t="s">
        <v>102</v>
      </c>
    </row>
    <row r="6" spans="1:18" s="7" customFormat="1" ht="15.75" customHeight="1">
      <c r="A6" s="307" t="s">
        <v>73</v>
      </c>
      <c r="B6" s="308"/>
      <c r="C6" s="314" t="s">
        <v>74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296" t="s">
        <v>71</v>
      </c>
      <c r="R6" s="305" t="s">
        <v>72</v>
      </c>
    </row>
    <row r="7" spans="1:18" s="7" customFormat="1" ht="18" customHeight="1">
      <c r="A7" s="309"/>
      <c r="B7" s="310"/>
      <c r="C7" s="301"/>
      <c r="D7" s="298" t="s">
        <v>9</v>
      </c>
      <c r="E7" s="298" t="s">
        <v>2</v>
      </c>
      <c r="F7" s="317" t="s">
        <v>84</v>
      </c>
      <c r="G7" s="317" t="s">
        <v>83</v>
      </c>
      <c r="H7" s="298" t="s">
        <v>3</v>
      </c>
      <c r="I7" s="317" t="s">
        <v>85</v>
      </c>
      <c r="J7" s="319" t="s">
        <v>34</v>
      </c>
      <c r="K7" s="320"/>
      <c r="L7" s="300" t="s">
        <v>54</v>
      </c>
      <c r="M7" s="300" t="s">
        <v>69</v>
      </c>
      <c r="N7" s="300" t="s">
        <v>70</v>
      </c>
      <c r="O7" s="298" t="s">
        <v>32</v>
      </c>
      <c r="P7" s="300" t="s">
        <v>30</v>
      </c>
      <c r="Q7" s="297"/>
      <c r="R7" s="306"/>
    </row>
    <row r="8" spans="1:18" s="7" customFormat="1" ht="21.75" customHeight="1">
      <c r="A8" s="309"/>
      <c r="B8" s="310"/>
      <c r="C8" s="301"/>
      <c r="D8" s="299"/>
      <c r="E8" s="299"/>
      <c r="F8" s="318"/>
      <c r="G8" s="318"/>
      <c r="H8" s="299"/>
      <c r="I8" s="318"/>
      <c r="J8" s="302" t="s">
        <v>86</v>
      </c>
      <c r="K8" s="303"/>
      <c r="L8" s="301"/>
      <c r="M8" s="301"/>
      <c r="N8" s="301"/>
      <c r="O8" s="299"/>
      <c r="P8" s="301"/>
      <c r="Q8" s="297"/>
      <c r="R8" s="306"/>
    </row>
    <row r="9" spans="1:18" s="7" customFormat="1" ht="31.5" customHeight="1">
      <c r="A9" s="311" t="s">
        <v>75</v>
      </c>
      <c r="B9" s="310"/>
      <c r="C9" s="315" t="s">
        <v>76</v>
      </c>
      <c r="D9" s="315" t="s">
        <v>77</v>
      </c>
      <c r="E9" s="292" t="s">
        <v>78</v>
      </c>
      <c r="F9" s="292" t="s">
        <v>79</v>
      </c>
      <c r="G9" s="292" t="s">
        <v>80</v>
      </c>
      <c r="H9" s="292" t="s">
        <v>81</v>
      </c>
      <c r="I9" s="292" t="s">
        <v>82</v>
      </c>
      <c r="J9" s="131" t="s">
        <v>67</v>
      </c>
      <c r="K9" s="131" t="s">
        <v>68</v>
      </c>
      <c r="L9" s="292" t="s">
        <v>89</v>
      </c>
      <c r="M9" s="292" t="s">
        <v>90</v>
      </c>
      <c r="N9" s="292" t="s">
        <v>91</v>
      </c>
      <c r="O9" s="294" t="s">
        <v>92</v>
      </c>
      <c r="P9" s="299"/>
      <c r="Q9" s="294" t="s">
        <v>93</v>
      </c>
      <c r="R9" s="290" t="s">
        <v>94</v>
      </c>
    </row>
    <row r="10" spans="1:18" s="7" customFormat="1" ht="39.75" customHeight="1" thickBot="1">
      <c r="A10" s="312"/>
      <c r="B10" s="313"/>
      <c r="C10" s="316"/>
      <c r="D10" s="316"/>
      <c r="E10" s="293"/>
      <c r="F10" s="293"/>
      <c r="G10" s="293"/>
      <c r="H10" s="293"/>
      <c r="I10" s="293"/>
      <c r="J10" s="130" t="s">
        <v>87</v>
      </c>
      <c r="K10" s="130" t="s">
        <v>88</v>
      </c>
      <c r="L10" s="293"/>
      <c r="M10" s="293"/>
      <c r="N10" s="293"/>
      <c r="O10" s="295"/>
      <c r="P10" s="316"/>
      <c r="Q10" s="295"/>
      <c r="R10" s="291"/>
    </row>
    <row r="11" spans="1:31" s="29" customFormat="1" ht="19.5" customHeight="1" hidden="1">
      <c r="A11" s="207" t="s">
        <v>285</v>
      </c>
      <c r="B11" s="132" t="s">
        <v>97</v>
      </c>
      <c r="C11" s="218">
        <f aca="true" t="shared" si="0" ref="C11:C17">SUM(D11,Q11,R11)</f>
        <v>80350</v>
      </c>
      <c r="D11" s="217">
        <f aca="true" t="shared" si="1" ref="D11:D17">SUM(E11:P11)</f>
        <v>71677</v>
      </c>
      <c r="E11" s="217">
        <v>48596</v>
      </c>
      <c r="F11" s="217">
        <v>0</v>
      </c>
      <c r="G11" s="217">
        <v>650</v>
      </c>
      <c r="H11" s="217">
        <v>526</v>
      </c>
      <c r="I11" s="217">
        <v>0</v>
      </c>
      <c r="J11" s="217">
        <v>1365</v>
      </c>
      <c r="K11" s="217">
        <v>0</v>
      </c>
      <c r="L11" s="217">
        <v>0</v>
      </c>
      <c r="M11" s="217">
        <v>18361</v>
      </c>
      <c r="N11" s="217">
        <v>0</v>
      </c>
      <c r="O11" s="217">
        <v>2179</v>
      </c>
      <c r="P11" s="217">
        <v>0</v>
      </c>
      <c r="Q11" s="217">
        <v>8673</v>
      </c>
      <c r="R11" s="217">
        <v>0</v>
      </c>
      <c r="S11" s="28"/>
      <c r="AE11" s="30"/>
    </row>
    <row r="12" spans="1:31" s="29" customFormat="1" ht="19.5" customHeight="1" hidden="1">
      <c r="A12" s="207" t="s">
        <v>286</v>
      </c>
      <c r="B12" s="132" t="s">
        <v>98</v>
      </c>
      <c r="C12" s="218">
        <f t="shared" si="0"/>
        <v>95345</v>
      </c>
      <c r="D12" s="217">
        <f t="shared" si="1"/>
        <v>95345</v>
      </c>
      <c r="E12" s="217">
        <v>59858</v>
      </c>
      <c r="F12" s="217">
        <v>0</v>
      </c>
      <c r="G12" s="217">
        <v>127</v>
      </c>
      <c r="H12" s="217">
        <v>614</v>
      </c>
      <c r="I12" s="217">
        <v>0</v>
      </c>
      <c r="J12" s="217">
        <v>1219</v>
      </c>
      <c r="K12" s="217">
        <v>0</v>
      </c>
      <c r="L12" s="217">
        <v>0</v>
      </c>
      <c r="M12" s="217">
        <v>32754</v>
      </c>
      <c r="N12" s="217">
        <v>0</v>
      </c>
      <c r="O12" s="217">
        <v>773</v>
      </c>
      <c r="P12" s="217">
        <v>0</v>
      </c>
      <c r="Q12" s="217">
        <v>0</v>
      </c>
      <c r="R12" s="217">
        <v>0</v>
      </c>
      <c r="S12" s="28"/>
      <c r="AE12" s="30"/>
    </row>
    <row r="13" spans="1:31" s="29" customFormat="1" ht="19.5" customHeight="1" hidden="1">
      <c r="A13" s="207" t="s">
        <v>287</v>
      </c>
      <c r="B13" s="132" t="s">
        <v>99</v>
      </c>
      <c r="C13" s="218">
        <f t="shared" si="0"/>
        <v>148931</v>
      </c>
      <c r="D13" s="217">
        <f t="shared" si="1"/>
        <v>147931</v>
      </c>
      <c r="E13" s="217">
        <v>70939</v>
      </c>
      <c r="F13" s="217">
        <v>0</v>
      </c>
      <c r="G13" s="217">
        <v>171</v>
      </c>
      <c r="H13" s="217">
        <v>577</v>
      </c>
      <c r="I13" s="217">
        <v>0</v>
      </c>
      <c r="J13" s="217">
        <v>979</v>
      </c>
      <c r="K13" s="217">
        <v>0</v>
      </c>
      <c r="L13" s="217">
        <v>0</v>
      </c>
      <c r="M13" s="217">
        <v>71854</v>
      </c>
      <c r="N13" s="217">
        <v>0</v>
      </c>
      <c r="O13" s="217">
        <v>3411</v>
      </c>
      <c r="P13" s="217">
        <v>0</v>
      </c>
      <c r="Q13" s="217">
        <v>1000</v>
      </c>
      <c r="R13" s="217">
        <v>0</v>
      </c>
      <c r="S13" s="28"/>
      <c r="AE13" s="30"/>
    </row>
    <row r="14" spans="1:31" s="29" customFormat="1" ht="19.5" customHeight="1" hidden="1">
      <c r="A14" s="32" t="s">
        <v>288</v>
      </c>
      <c r="B14" s="132" t="s">
        <v>289</v>
      </c>
      <c r="C14" s="218">
        <f t="shared" si="0"/>
        <v>201858</v>
      </c>
      <c r="D14" s="217">
        <f t="shared" si="1"/>
        <v>160028</v>
      </c>
      <c r="E14" s="217">
        <v>77064</v>
      </c>
      <c r="F14" s="217">
        <v>0</v>
      </c>
      <c r="G14" s="217">
        <v>787</v>
      </c>
      <c r="H14" s="217">
        <v>576</v>
      </c>
      <c r="I14" s="217">
        <v>0</v>
      </c>
      <c r="J14" s="217">
        <v>1200</v>
      </c>
      <c r="K14" s="217">
        <v>0</v>
      </c>
      <c r="L14" s="217">
        <v>0</v>
      </c>
      <c r="M14" s="217">
        <v>70992</v>
      </c>
      <c r="N14" s="217">
        <v>0</v>
      </c>
      <c r="O14" s="217">
        <v>9409</v>
      </c>
      <c r="P14" s="217">
        <v>0</v>
      </c>
      <c r="Q14" s="217">
        <v>41830</v>
      </c>
      <c r="R14" s="217">
        <v>0</v>
      </c>
      <c r="S14" s="28"/>
      <c r="AE14" s="30"/>
    </row>
    <row r="15" spans="1:31" s="29" customFormat="1" ht="19.5" customHeight="1" hidden="1">
      <c r="A15" s="32" t="s">
        <v>318</v>
      </c>
      <c r="B15" s="132" t="s">
        <v>290</v>
      </c>
      <c r="C15" s="218">
        <f t="shared" si="0"/>
        <v>152650</v>
      </c>
      <c r="D15" s="217">
        <f t="shared" si="1"/>
        <v>152650</v>
      </c>
      <c r="E15" s="217">
        <v>85286</v>
      </c>
      <c r="F15" s="217">
        <v>0</v>
      </c>
      <c r="G15" s="217">
        <v>154</v>
      </c>
      <c r="H15" s="217">
        <v>554</v>
      </c>
      <c r="I15" s="217">
        <v>0</v>
      </c>
      <c r="J15" s="217">
        <v>947</v>
      </c>
      <c r="K15" s="217">
        <v>0</v>
      </c>
      <c r="L15" s="217">
        <v>0</v>
      </c>
      <c r="M15" s="217">
        <v>56386</v>
      </c>
      <c r="N15" s="217">
        <v>0</v>
      </c>
      <c r="O15" s="217">
        <v>9323</v>
      </c>
      <c r="P15" s="217">
        <v>0</v>
      </c>
      <c r="Q15" s="217">
        <v>0</v>
      </c>
      <c r="R15" s="217">
        <v>0</v>
      </c>
      <c r="S15" s="28"/>
      <c r="AE15" s="30"/>
    </row>
    <row r="16" spans="1:31" s="29" customFormat="1" ht="19.5" customHeight="1" hidden="1">
      <c r="A16" s="32" t="s">
        <v>376</v>
      </c>
      <c r="B16" s="132" t="s">
        <v>375</v>
      </c>
      <c r="C16" s="218">
        <f t="shared" si="0"/>
        <v>136254</v>
      </c>
      <c r="D16" s="217">
        <f t="shared" si="1"/>
        <v>136254</v>
      </c>
      <c r="E16" s="217">
        <v>86569</v>
      </c>
      <c r="F16" s="217">
        <v>0</v>
      </c>
      <c r="G16" s="217">
        <v>154</v>
      </c>
      <c r="H16" s="217">
        <v>649</v>
      </c>
      <c r="I16" s="217">
        <v>0</v>
      </c>
      <c r="J16" s="217">
        <v>1133</v>
      </c>
      <c r="K16" s="217">
        <v>0</v>
      </c>
      <c r="L16" s="217">
        <v>0</v>
      </c>
      <c r="M16" s="217">
        <v>36769</v>
      </c>
      <c r="N16" s="217">
        <v>757</v>
      </c>
      <c r="O16" s="217">
        <v>10223</v>
      </c>
      <c r="P16" s="217">
        <v>0</v>
      </c>
      <c r="Q16" s="217">
        <v>0</v>
      </c>
      <c r="R16" s="217">
        <v>0</v>
      </c>
      <c r="S16" s="28"/>
      <c r="AE16" s="30"/>
    </row>
    <row r="17" spans="1:31" s="29" customFormat="1" ht="19.5" customHeight="1" hidden="1">
      <c r="A17" s="32" t="s">
        <v>382</v>
      </c>
      <c r="B17" s="132" t="s">
        <v>381</v>
      </c>
      <c r="C17" s="218">
        <f t="shared" si="0"/>
        <v>130956</v>
      </c>
      <c r="D17" s="217">
        <f t="shared" si="1"/>
        <v>117927</v>
      </c>
      <c r="E17" s="217">
        <v>88545</v>
      </c>
      <c r="F17" s="217">
        <v>0</v>
      </c>
      <c r="G17" s="217">
        <v>868</v>
      </c>
      <c r="H17" s="217">
        <v>1007</v>
      </c>
      <c r="I17" s="217">
        <v>0</v>
      </c>
      <c r="J17" s="217">
        <v>2098</v>
      </c>
      <c r="K17" s="217">
        <v>0</v>
      </c>
      <c r="L17" s="217">
        <v>0</v>
      </c>
      <c r="M17" s="217">
        <v>20179</v>
      </c>
      <c r="N17" s="217">
        <v>0</v>
      </c>
      <c r="O17" s="217">
        <v>5230</v>
      </c>
      <c r="P17" s="217">
        <v>0</v>
      </c>
      <c r="Q17" s="217">
        <v>13029</v>
      </c>
      <c r="R17" s="217">
        <v>0</v>
      </c>
      <c r="S17" s="28"/>
      <c r="AE17" s="30"/>
    </row>
    <row r="18" spans="1:31" s="29" customFormat="1" ht="19.5" customHeight="1">
      <c r="A18" s="32" t="s">
        <v>383</v>
      </c>
      <c r="B18" s="132" t="s">
        <v>384</v>
      </c>
      <c r="C18" s="218">
        <v>134198</v>
      </c>
      <c r="D18" s="218">
        <v>119863</v>
      </c>
      <c r="E18" s="218">
        <v>81260</v>
      </c>
      <c r="F18" s="218">
        <v>0</v>
      </c>
      <c r="G18" s="218">
        <v>102</v>
      </c>
      <c r="H18" s="218">
        <v>2467</v>
      </c>
      <c r="I18" s="218">
        <v>0</v>
      </c>
      <c r="J18" s="218">
        <v>2586</v>
      </c>
      <c r="K18" s="218">
        <v>0</v>
      </c>
      <c r="L18" s="218">
        <v>0</v>
      </c>
      <c r="M18" s="218">
        <v>31450</v>
      </c>
      <c r="N18" s="218">
        <v>0</v>
      </c>
      <c r="O18" s="218">
        <v>1998</v>
      </c>
      <c r="P18" s="218">
        <v>0</v>
      </c>
      <c r="Q18" s="219">
        <v>14335</v>
      </c>
      <c r="R18" s="218">
        <v>0</v>
      </c>
      <c r="S18" s="28"/>
      <c r="AE18" s="30"/>
    </row>
    <row r="19" spans="1:31" s="29" customFormat="1" ht="19.5" customHeight="1">
      <c r="A19" s="32" t="s">
        <v>392</v>
      </c>
      <c r="B19" s="132" t="s">
        <v>391</v>
      </c>
      <c r="C19" s="218">
        <v>118763.59300000001</v>
      </c>
      <c r="D19" s="218">
        <v>104428.59300000001</v>
      </c>
      <c r="E19" s="218">
        <v>57590.746999999996</v>
      </c>
      <c r="F19" s="218">
        <v>0</v>
      </c>
      <c r="G19" s="218">
        <v>154.74099999999999</v>
      </c>
      <c r="H19" s="218">
        <v>2539.9830000000006</v>
      </c>
      <c r="I19" s="218">
        <v>0</v>
      </c>
      <c r="J19" s="218">
        <v>1550.31</v>
      </c>
      <c r="K19" s="218">
        <v>0</v>
      </c>
      <c r="L19" s="218">
        <v>0</v>
      </c>
      <c r="M19" s="218">
        <v>41898.149</v>
      </c>
      <c r="N19" s="218">
        <v>600</v>
      </c>
      <c r="O19" s="218">
        <v>94.66300000000001</v>
      </c>
      <c r="P19" s="218">
        <v>0</v>
      </c>
      <c r="Q19" s="219">
        <v>14335</v>
      </c>
      <c r="R19" s="218">
        <v>0</v>
      </c>
      <c r="S19" s="28"/>
      <c r="AE19" s="30"/>
    </row>
    <row r="20" spans="1:31" s="29" customFormat="1" ht="19.5" customHeight="1">
      <c r="A20" s="32" t="s">
        <v>393</v>
      </c>
      <c r="B20" s="132" t="s">
        <v>394</v>
      </c>
      <c r="C20" s="218">
        <v>185629</v>
      </c>
      <c r="D20" s="218">
        <v>185629</v>
      </c>
      <c r="E20" s="218">
        <v>76868</v>
      </c>
      <c r="F20" s="218">
        <v>0</v>
      </c>
      <c r="G20" s="218">
        <v>208</v>
      </c>
      <c r="H20" s="218">
        <v>1235</v>
      </c>
      <c r="I20" s="218">
        <v>0</v>
      </c>
      <c r="J20" s="218">
        <v>1191</v>
      </c>
      <c r="K20" s="218">
        <v>0</v>
      </c>
      <c r="L20" s="218">
        <v>0</v>
      </c>
      <c r="M20" s="218">
        <v>79172</v>
      </c>
      <c r="N20" s="218">
        <v>11160</v>
      </c>
      <c r="O20" s="218">
        <v>15795</v>
      </c>
      <c r="P20" s="218">
        <v>0</v>
      </c>
      <c r="Q20" s="219"/>
      <c r="R20" s="218">
        <v>0</v>
      </c>
      <c r="S20" s="28"/>
      <c r="AE20" s="30"/>
    </row>
    <row r="21" spans="1:31" s="29" customFormat="1" ht="19.5" customHeight="1">
      <c r="A21" s="32" t="s">
        <v>397</v>
      </c>
      <c r="B21" s="132" t="s">
        <v>398</v>
      </c>
      <c r="C21" s="218">
        <v>190625</v>
      </c>
      <c r="D21" s="218">
        <v>174831</v>
      </c>
      <c r="E21" s="218">
        <v>105942</v>
      </c>
      <c r="F21" s="218">
        <f aca="true" t="shared" si="2" ref="F21:R21">SUM(F33:F44)</f>
        <v>0</v>
      </c>
      <c r="G21" s="218">
        <v>243</v>
      </c>
      <c r="H21" s="218">
        <v>2477</v>
      </c>
      <c r="I21" s="218">
        <f t="shared" si="2"/>
        <v>0</v>
      </c>
      <c r="J21" s="218">
        <v>862</v>
      </c>
      <c r="K21" s="218">
        <f t="shared" si="2"/>
        <v>103.842</v>
      </c>
      <c r="L21" s="218">
        <f t="shared" si="2"/>
        <v>0</v>
      </c>
      <c r="M21" s="218">
        <v>64859</v>
      </c>
      <c r="N21" s="218">
        <f t="shared" si="2"/>
        <v>24.8</v>
      </c>
      <c r="O21" s="218">
        <v>447</v>
      </c>
      <c r="P21" s="218">
        <f t="shared" si="2"/>
        <v>0</v>
      </c>
      <c r="Q21" s="218">
        <v>15794</v>
      </c>
      <c r="R21" s="218">
        <f t="shared" si="2"/>
        <v>0</v>
      </c>
      <c r="S21" s="28"/>
      <c r="AE21" s="30"/>
    </row>
    <row r="22" spans="1:31" s="29" customFormat="1" ht="19.5" customHeight="1">
      <c r="A22" s="32" t="s">
        <v>413</v>
      </c>
      <c r="B22" s="132" t="s">
        <v>412</v>
      </c>
      <c r="C22" s="218">
        <f>D22+Q22</f>
        <v>182031.91999999998</v>
      </c>
      <c r="D22" s="218">
        <f>SUM(E22:O22)</f>
        <v>165545.47999999998</v>
      </c>
      <c r="E22" s="218">
        <v>98212.84</v>
      </c>
      <c r="F22" s="218">
        <v>0</v>
      </c>
      <c r="G22" s="218">
        <v>239.32</v>
      </c>
      <c r="H22" s="218">
        <v>1572.03</v>
      </c>
      <c r="I22" s="218">
        <v>0</v>
      </c>
      <c r="J22" s="218">
        <v>982.93</v>
      </c>
      <c r="K22" s="218">
        <v>0</v>
      </c>
      <c r="L22" s="218">
        <v>0</v>
      </c>
      <c r="M22" s="218">
        <v>62368.09</v>
      </c>
      <c r="N22" s="218">
        <v>0</v>
      </c>
      <c r="O22" s="218">
        <v>2170.27</v>
      </c>
      <c r="P22" s="218">
        <v>0</v>
      </c>
      <c r="Q22" s="218">
        <v>16486.44</v>
      </c>
      <c r="R22" s="218">
        <v>0</v>
      </c>
      <c r="S22" s="28"/>
      <c r="AE22" s="30"/>
    </row>
    <row r="23" spans="1:31" s="29" customFormat="1" ht="19.5" customHeight="1">
      <c r="A23" s="247" t="s">
        <v>420</v>
      </c>
      <c r="B23" s="248" t="s">
        <v>421</v>
      </c>
      <c r="C23" s="249">
        <f>SUM(D23,Q23)</f>
        <v>170303</v>
      </c>
      <c r="D23" s="249">
        <v>140648</v>
      </c>
      <c r="E23" s="249">
        <v>95938</v>
      </c>
      <c r="F23" s="218">
        <f>SUM(F33:F44)</f>
        <v>0</v>
      </c>
      <c r="G23" s="249">
        <v>53</v>
      </c>
      <c r="H23" s="249">
        <v>2214</v>
      </c>
      <c r="I23" s="218">
        <f>SUM(I33:I44)</f>
        <v>0</v>
      </c>
      <c r="J23" s="249">
        <v>473</v>
      </c>
      <c r="K23" s="218">
        <f>SUM(K33:K44)</f>
        <v>103.842</v>
      </c>
      <c r="L23" s="218">
        <f>SUM(L33:L44)</f>
        <v>0</v>
      </c>
      <c r="M23" s="249">
        <v>38589</v>
      </c>
      <c r="N23" s="244">
        <f>SUM(N33:N44)</f>
        <v>24.8</v>
      </c>
      <c r="O23" s="249">
        <v>3381</v>
      </c>
      <c r="P23" s="218">
        <f>SUM(P33:P44)</f>
        <v>0</v>
      </c>
      <c r="Q23" s="249">
        <v>29655</v>
      </c>
      <c r="R23" s="218">
        <f>SUM(R33:R44)</f>
        <v>0</v>
      </c>
      <c r="S23" s="28"/>
      <c r="AE23" s="30"/>
    </row>
    <row r="24" spans="1:31" s="29" customFormat="1" ht="19.5" customHeight="1">
      <c r="A24" s="247" t="s">
        <v>439</v>
      </c>
      <c r="B24" s="248" t="s">
        <v>440</v>
      </c>
      <c r="C24" s="249">
        <f aca="true" t="shared" si="3" ref="C24:C29">D24+Q24+R24</f>
        <v>158434.94</v>
      </c>
      <c r="D24" s="249">
        <f aca="true" t="shared" si="4" ref="D24:D29">SUM(E24:P24)</f>
        <v>146161.65</v>
      </c>
      <c r="E24" s="249">
        <v>98761.26</v>
      </c>
      <c r="F24" s="218">
        <v>0</v>
      </c>
      <c r="G24" s="249">
        <v>178.21</v>
      </c>
      <c r="H24" s="249">
        <v>1168.31</v>
      </c>
      <c r="I24" s="218">
        <v>0</v>
      </c>
      <c r="J24" s="249">
        <v>453.68</v>
      </c>
      <c r="K24" s="218">
        <v>0</v>
      </c>
      <c r="L24" s="218">
        <v>0</v>
      </c>
      <c r="M24" s="249">
        <v>42528.04</v>
      </c>
      <c r="N24" s="244">
        <v>0</v>
      </c>
      <c r="O24" s="249">
        <v>3072.15</v>
      </c>
      <c r="P24" s="218">
        <v>0</v>
      </c>
      <c r="Q24" s="249">
        <v>12273.29</v>
      </c>
      <c r="R24" s="217">
        <v>0</v>
      </c>
      <c r="S24" s="28"/>
      <c r="AE24" s="30"/>
    </row>
    <row r="25" spans="1:31" s="29" customFormat="1" ht="19.5" customHeight="1">
      <c r="A25" s="247" t="s">
        <v>445</v>
      </c>
      <c r="B25" s="248" t="s">
        <v>446</v>
      </c>
      <c r="C25" s="249">
        <f t="shared" si="3"/>
        <v>216216.56</v>
      </c>
      <c r="D25" s="249">
        <f t="shared" si="4"/>
        <v>175962.07</v>
      </c>
      <c r="E25" s="249">
        <v>120450.13</v>
      </c>
      <c r="F25" s="218">
        <v>0</v>
      </c>
      <c r="G25" s="249">
        <v>580.14</v>
      </c>
      <c r="H25" s="249">
        <v>1299.15</v>
      </c>
      <c r="I25" s="244">
        <v>0</v>
      </c>
      <c r="J25" s="249">
        <v>820.42</v>
      </c>
      <c r="K25" s="218">
        <v>0</v>
      </c>
      <c r="L25" s="218">
        <v>0</v>
      </c>
      <c r="M25" s="249">
        <v>52014.23</v>
      </c>
      <c r="N25" s="244">
        <v>0</v>
      </c>
      <c r="O25" s="249">
        <v>798</v>
      </c>
      <c r="P25" s="244">
        <v>0</v>
      </c>
      <c r="Q25" s="249">
        <v>40254.49</v>
      </c>
      <c r="R25" s="218">
        <v>0</v>
      </c>
      <c r="S25" s="28"/>
      <c r="AE25" s="30"/>
    </row>
    <row r="26" spans="1:31" s="258" customFormat="1" ht="19.5" customHeight="1">
      <c r="A26" s="247" t="s">
        <v>479</v>
      </c>
      <c r="B26" s="248">
        <v>2016</v>
      </c>
      <c r="C26" s="249">
        <f t="shared" si="3"/>
        <v>210058.442</v>
      </c>
      <c r="D26" s="249">
        <f t="shared" si="4"/>
        <v>195016.872</v>
      </c>
      <c r="E26" s="249">
        <v>125137.57</v>
      </c>
      <c r="F26" s="266">
        <f>SUM(F33:F44)</f>
        <v>0</v>
      </c>
      <c r="G26" s="249">
        <v>295.87</v>
      </c>
      <c r="H26" s="249">
        <v>1105.08</v>
      </c>
      <c r="I26" s="267">
        <f>SUM(I33:I44)</f>
        <v>0</v>
      </c>
      <c r="J26" s="249">
        <v>292.85</v>
      </c>
      <c r="K26" s="266">
        <f>SUM(K33:K44)</f>
        <v>103.842</v>
      </c>
      <c r="L26" s="266">
        <f>SUM(L33:L44)</f>
        <v>0</v>
      </c>
      <c r="M26" s="249">
        <v>63496.6</v>
      </c>
      <c r="N26" s="267">
        <f>SUM(N33:N44)</f>
        <v>24.8</v>
      </c>
      <c r="O26" s="249">
        <v>4560.26</v>
      </c>
      <c r="P26" s="267">
        <f>SUM(P33:P44)</f>
        <v>0</v>
      </c>
      <c r="Q26" s="249">
        <v>15041.57</v>
      </c>
      <c r="R26" s="266">
        <f>SUM(R33:R44)</f>
        <v>0</v>
      </c>
      <c r="S26" s="251"/>
      <c r="AE26" s="253"/>
    </row>
    <row r="27" spans="1:31" s="258" customFormat="1" ht="19.5" customHeight="1">
      <c r="A27" s="247" t="s">
        <v>480</v>
      </c>
      <c r="B27" s="248">
        <v>2017</v>
      </c>
      <c r="C27" s="249">
        <f t="shared" si="3"/>
        <v>308278</v>
      </c>
      <c r="D27" s="249">
        <f t="shared" si="4"/>
        <v>276629</v>
      </c>
      <c r="E27" s="249">
        <v>129066</v>
      </c>
      <c r="F27" s="266"/>
      <c r="G27" s="249">
        <v>472</v>
      </c>
      <c r="H27" s="249">
        <v>913</v>
      </c>
      <c r="I27" s="267"/>
      <c r="J27" s="249">
        <v>202</v>
      </c>
      <c r="K27" s="266">
        <v>2</v>
      </c>
      <c r="L27" s="266"/>
      <c r="M27" s="249">
        <v>118180</v>
      </c>
      <c r="N27" s="267"/>
      <c r="O27" s="249">
        <v>27794</v>
      </c>
      <c r="P27" s="267"/>
      <c r="Q27" s="249">
        <v>31649</v>
      </c>
      <c r="R27" s="266"/>
      <c r="S27" s="251"/>
      <c r="AE27" s="253"/>
    </row>
    <row r="28" spans="1:31" s="258" customFormat="1" ht="19.5" customHeight="1">
      <c r="A28" s="247" t="s">
        <v>486</v>
      </c>
      <c r="B28" s="248">
        <v>2018</v>
      </c>
      <c r="C28" s="249">
        <f t="shared" si="3"/>
        <v>277693</v>
      </c>
      <c r="D28" s="249">
        <f t="shared" si="4"/>
        <v>215772</v>
      </c>
      <c r="E28" s="249">
        <v>145132</v>
      </c>
      <c r="F28" s="266">
        <v>0</v>
      </c>
      <c r="G28" s="249">
        <v>1762</v>
      </c>
      <c r="H28" s="249">
        <v>766</v>
      </c>
      <c r="I28" s="267">
        <v>0</v>
      </c>
      <c r="J28" s="249">
        <v>182</v>
      </c>
      <c r="K28" s="266">
        <v>2</v>
      </c>
      <c r="L28" s="266">
        <v>0</v>
      </c>
      <c r="M28" s="249">
        <v>65058</v>
      </c>
      <c r="N28" s="267">
        <v>0</v>
      </c>
      <c r="O28" s="249">
        <v>2870</v>
      </c>
      <c r="P28" s="267">
        <v>0</v>
      </c>
      <c r="Q28" s="249">
        <v>61921</v>
      </c>
      <c r="R28" s="266"/>
      <c r="S28" s="251"/>
      <c r="AE28" s="253"/>
    </row>
    <row r="29" spans="1:31" s="258" customFormat="1" ht="19.5" customHeight="1">
      <c r="A29" s="247" t="s">
        <v>497</v>
      </c>
      <c r="B29" s="248">
        <v>2019</v>
      </c>
      <c r="C29" s="249">
        <f t="shared" si="3"/>
        <v>287109</v>
      </c>
      <c r="D29" s="249">
        <f t="shared" si="4"/>
        <v>259056</v>
      </c>
      <c r="E29" s="249">
        <v>140278</v>
      </c>
      <c r="F29" s="266">
        <v>0</v>
      </c>
      <c r="G29" s="249">
        <v>234</v>
      </c>
      <c r="H29" s="249">
        <v>1118</v>
      </c>
      <c r="I29" s="267">
        <v>0</v>
      </c>
      <c r="J29" s="249">
        <v>282</v>
      </c>
      <c r="K29" s="266">
        <v>20</v>
      </c>
      <c r="L29" s="266">
        <v>0</v>
      </c>
      <c r="M29" s="249">
        <v>113421</v>
      </c>
      <c r="N29" s="267">
        <v>0</v>
      </c>
      <c r="O29" s="249">
        <v>3703</v>
      </c>
      <c r="P29" s="267">
        <v>0</v>
      </c>
      <c r="Q29" s="249">
        <v>28053</v>
      </c>
      <c r="R29" s="266"/>
      <c r="S29" s="251"/>
      <c r="AE29" s="253"/>
    </row>
    <row r="30" spans="1:31" s="258" customFormat="1" ht="19.5" customHeight="1">
      <c r="A30" s="247" t="s">
        <v>500</v>
      </c>
      <c r="B30" s="248">
        <v>2020</v>
      </c>
      <c r="C30" s="249">
        <v>243758.13400000002</v>
      </c>
      <c r="D30" s="249">
        <v>229734.272</v>
      </c>
      <c r="E30" s="249">
        <v>127396.97500000003</v>
      </c>
      <c r="F30" s="266">
        <v>0</v>
      </c>
      <c r="G30" s="249">
        <v>320.844</v>
      </c>
      <c r="H30" s="249">
        <v>1091.798</v>
      </c>
      <c r="I30" s="267">
        <v>0</v>
      </c>
      <c r="J30" s="249">
        <v>376.47400000000005</v>
      </c>
      <c r="K30" s="266">
        <v>850.941</v>
      </c>
      <c r="L30" s="266">
        <v>0</v>
      </c>
      <c r="M30" s="249">
        <v>96095.451</v>
      </c>
      <c r="N30" s="267">
        <v>0</v>
      </c>
      <c r="O30" s="249">
        <v>3601.7889999999998</v>
      </c>
      <c r="P30" s="267">
        <v>0</v>
      </c>
      <c r="Q30" s="249">
        <v>14023.862000000001</v>
      </c>
      <c r="R30" s="266"/>
      <c r="S30" s="251"/>
      <c r="AE30" s="253"/>
    </row>
    <row r="31" spans="1:31" s="258" customFormat="1" ht="19.5" customHeight="1">
      <c r="A31" s="247" t="s">
        <v>507</v>
      </c>
      <c r="B31" s="248">
        <v>2021</v>
      </c>
      <c r="C31" s="249">
        <v>247064</v>
      </c>
      <c r="D31" s="249">
        <v>217557</v>
      </c>
      <c r="E31" s="249">
        <v>125502</v>
      </c>
      <c r="F31" s="266"/>
      <c r="G31" s="249">
        <v>458</v>
      </c>
      <c r="H31" s="249">
        <v>2455</v>
      </c>
      <c r="I31" s="267">
        <v>0</v>
      </c>
      <c r="J31" s="249">
        <v>104</v>
      </c>
      <c r="K31" s="266">
        <v>179</v>
      </c>
      <c r="L31" s="266">
        <v>0</v>
      </c>
      <c r="M31" s="249">
        <v>85153</v>
      </c>
      <c r="N31" s="267">
        <v>62</v>
      </c>
      <c r="O31" s="249">
        <v>3644</v>
      </c>
      <c r="P31" s="267"/>
      <c r="Q31" s="249">
        <v>29506</v>
      </c>
      <c r="R31" s="266"/>
      <c r="S31" s="251"/>
      <c r="AE31" s="253"/>
    </row>
    <row r="32" spans="1:31" s="258" customFormat="1" ht="19.5" customHeight="1">
      <c r="A32" s="247" t="s">
        <v>543</v>
      </c>
      <c r="B32" s="248">
        <v>2022</v>
      </c>
      <c r="C32" s="249">
        <f>SUM(C33:C45)</f>
        <v>278962.599</v>
      </c>
      <c r="D32" s="249">
        <f>SUM(D33:D45)</f>
        <v>237552.68800000002</v>
      </c>
      <c r="E32" s="249">
        <f>SUM(E33:E44)</f>
        <v>149314.911</v>
      </c>
      <c r="F32" s="218">
        <f aca="true" t="shared" si="5" ref="F32:R32">SUM(F34:F45)</f>
        <v>0</v>
      </c>
      <c r="G32" s="249">
        <f>SUM(G33:G45)</f>
        <v>379.088</v>
      </c>
      <c r="H32" s="249">
        <f>SUM(H33:H45)</f>
        <v>1484.256</v>
      </c>
      <c r="I32" s="244">
        <f t="shared" si="5"/>
        <v>0</v>
      </c>
      <c r="J32" s="249">
        <f>SUM(J33:J45)</f>
        <v>307.16999999999996</v>
      </c>
      <c r="K32" s="218">
        <f t="shared" si="5"/>
        <v>103.842</v>
      </c>
      <c r="L32" s="218">
        <f t="shared" si="5"/>
        <v>0</v>
      </c>
      <c r="M32" s="249">
        <f>SUM(M33:M45)</f>
        <v>83315.602</v>
      </c>
      <c r="N32" s="244">
        <f t="shared" si="5"/>
        <v>24</v>
      </c>
      <c r="O32" s="249">
        <f>SUM(O33:O45)</f>
        <v>2623.019</v>
      </c>
      <c r="P32" s="244">
        <f t="shared" si="5"/>
        <v>0</v>
      </c>
      <c r="Q32" s="249">
        <f>SUM(Q33:Q45)</f>
        <v>41409.91099999999</v>
      </c>
      <c r="R32" s="218">
        <f t="shared" si="5"/>
        <v>0</v>
      </c>
      <c r="S32" s="251"/>
      <c r="AE32" s="253"/>
    </row>
    <row r="33" spans="1:31" s="252" customFormat="1" ht="19.5" customHeight="1">
      <c r="A33" s="247" t="s">
        <v>19</v>
      </c>
      <c r="B33" s="250" t="s">
        <v>517</v>
      </c>
      <c r="C33" s="243">
        <f>SUM(D33,Q33,R33)</f>
        <v>32845.399</v>
      </c>
      <c r="D33" s="244">
        <f aca="true" t="shared" si="6" ref="D33:D43">SUM(E33:P33)</f>
        <v>29304.252</v>
      </c>
      <c r="E33" s="249">
        <v>28068.159</v>
      </c>
      <c r="F33" s="244">
        <v>0</v>
      </c>
      <c r="G33" s="244">
        <v>64.177</v>
      </c>
      <c r="H33" s="244">
        <v>51.42</v>
      </c>
      <c r="I33" s="244">
        <v>0</v>
      </c>
      <c r="J33" s="244">
        <v>69</v>
      </c>
      <c r="K33" s="244">
        <v>0</v>
      </c>
      <c r="L33" s="244">
        <v>0</v>
      </c>
      <c r="M33" s="244">
        <v>1045.598</v>
      </c>
      <c r="N33" s="244">
        <v>0.8</v>
      </c>
      <c r="O33" s="244">
        <v>5.098</v>
      </c>
      <c r="P33" s="244">
        <v>0</v>
      </c>
      <c r="Q33" s="244">
        <v>3541.147</v>
      </c>
      <c r="R33" s="243">
        <v>0</v>
      </c>
      <c r="S33" s="251"/>
      <c r="AE33" s="253"/>
    </row>
    <row r="34" spans="1:31" s="252" customFormat="1" ht="19.5" customHeight="1">
      <c r="A34" s="247" t="s">
        <v>20</v>
      </c>
      <c r="B34" s="250" t="s">
        <v>518</v>
      </c>
      <c r="C34" s="243">
        <f>SUM(D34,Q34,R34)</f>
        <v>15796.452000000001</v>
      </c>
      <c r="D34" s="244">
        <f t="shared" si="6"/>
        <v>11658.127</v>
      </c>
      <c r="E34" s="244">
        <v>10384.864</v>
      </c>
      <c r="F34" s="244">
        <v>0</v>
      </c>
      <c r="G34" s="244">
        <v>12.566</v>
      </c>
      <c r="H34" s="244">
        <v>105.687</v>
      </c>
      <c r="I34" s="244">
        <v>0</v>
      </c>
      <c r="J34" s="244">
        <v>102.822</v>
      </c>
      <c r="K34" s="244">
        <v>0</v>
      </c>
      <c r="L34" s="244">
        <v>0</v>
      </c>
      <c r="M34" s="244">
        <v>727</v>
      </c>
      <c r="N34" s="244">
        <v>0.8</v>
      </c>
      <c r="O34" s="244">
        <v>324.388</v>
      </c>
      <c r="P34" s="244">
        <v>0</v>
      </c>
      <c r="Q34" s="244">
        <v>4138.325</v>
      </c>
      <c r="R34" s="243">
        <v>0</v>
      </c>
      <c r="S34" s="251"/>
      <c r="AE34" s="253"/>
    </row>
    <row r="35" spans="1:31" s="252" customFormat="1" ht="19.5" customHeight="1">
      <c r="A35" s="247" t="s">
        <v>21</v>
      </c>
      <c r="B35" s="250" t="s">
        <v>519</v>
      </c>
      <c r="C35" s="243">
        <f>SUM(D35,Q35,R35)</f>
        <v>32207.888000000006</v>
      </c>
      <c r="D35" s="244">
        <f t="shared" si="6"/>
        <v>23511.432000000004</v>
      </c>
      <c r="E35" s="244">
        <v>11059.571</v>
      </c>
      <c r="F35" s="244">
        <v>0</v>
      </c>
      <c r="G35" s="244">
        <v>2.873</v>
      </c>
      <c r="H35" s="244">
        <v>166.456</v>
      </c>
      <c r="I35" s="244"/>
      <c r="J35" s="244">
        <v>2.254</v>
      </c>
      <c r="K35" s="244">
        <v>0</v>
      </c>
      <c r="L35" s="244">
        <v>0</v>
      </c>
      <c r="M35" s="244">
        <v>11999.5</v>
      </c>
      <c r="N35" s="244">
        <v>3.2</v>
      </c>
      <c r="O35" s="244">
        <v>277.578</v>
      </c>
      <c r="P35" s="244">
        <v>0</v>
      </c>
      <c r="Q35" s="244">
        <v>8696.456</v>
      </c>
      <c r="R35" s="243">
        <v>0</v>
      </c>
      <c r="S35" s="251"/>
      <c r="AE35" s="253"/>
    </row>
    <row r="36" spans="1:31" s="252" customFormat="1" ht="19.5" customHeight="1">
      <c r="A36" s="247" t="s">
        <v>22</v>
      </c>
      <c r="B36" s="250" t="s">
        <v>520</v>
      </c>
      <c r="C36" s="243">
        <f>SUM(D36,Q36,R36)</f>
        <v>11496.649</v>
      </c>
      <c r="D36" s="244">
        <f t="shared" si="6"/>
        <v>11496.649</v>
      </c>
      <c r="E36" s="244">
        <v>10306.091</v>
      </c>
      <c r="F36" s="244">
        <v>0</v>
      </c>
      <c r="G36" s="244">
        <v>-9.507</v>
      </c>
      <c r="H36" s="244">
        <v>100.853</v>
      </c>
      <c r="I36" s="244">
        <v>0</v>
      </c>
      <c r="J36" s="244">
        <v>0</v>
      </c>
      <c r="K36" s="244">
        <v>0</v>
      </c>
      <c r="L36" s="244">
        <v>0</v>
      </c>
      <c r="M36" s="244">
        <v>950.4</v>
      </c>
      <c r="N36" s="244">
        <v>0</v>
      </c>
      <c r="O36" s="244">
        <v>148.812</v>
      </c>
      <c r="P36" s="244">
        <v>0</v>
      </c>
      <c r="Q36" s="244">
        <v>0</v>
      </c>
      <c r="R36" s="243">
        <v>0</v>
      </c>
      <c r="S36" s="251"/>
      <c r="AE36" s="253"/>
    </row>
    <row r="37" spans="1:31" s="252" customFormat="1" ht="19.5" customHeight="1">
      <c r="A37" s="247" t="s">
        <v>23</v>
      </c>
      <c r="B37" s="250" t="s">
        <v>521</v>
      </c>
      <c r="C37" s="243">
        <f aca="true" t="shared" si="7" ref="C37:C44">SUM(D37,Q37,R37)</f>
        <v>18646.066</v>
      </c>
      <c r="D37" s="244">
        <f t="shared" si="6"/>
        <v>15473.82</v>
      </c>
      <c r="E37" s="244">
        <v>12279.582</v>
      </c>
      <c r="F37" s="244">
        <v>0</v>
      </c>
      <c r="G37" s="244">
        <v>2.5</v>
      </c>
      <c r="H37" s="244">
        <v>245.128</v>
      </c>
      <c r="I37" s="244">
        <v>0</v>
      </c>
      <c r="J37" s="244">
        <v>0</v>
      </c>
      <c r="K37" s="244">
        <v>0</v>
      </c>
      <c r="L37" s="244">
        <v>0</v>
      </c>
      <c r="M37" s="244">
        <v>2782.63</v>
      </c>
      <c r="N37" s="244">
        <v>0</v>
      </c>
      <c r="O37" s="244">
        <v>163.98</v>
      </c>
      <c r="P37" s="244">
        <v>0</v>
      </c>
      <c r="Q37" s="244">
        <v>3172.246</v>
      </c>
      <c r="R37" s="244">
        <v>0</v>
      </c>
      <c r="S37" s="251"/>
      <c r="AE37" s="253"/>
    </row>
    <row r="38" spans="1:19" s="252" customFormat="1" ht="19.5" customHeight="1">
      <c r="A38" s="247" t="s">
        <v>24</v>
      </c>
      <c r="B38" s="250" t="s">
        <v>522</v>
      </c>
      <c r="C38" s="243">
        <f t="shared" si="7"/>
        <v>12726.126999999999</v>
      </c>
      <c r="D38" s="244">
        <f t="shared" si="6"/>
        <v>12002.259999999998</v>
      </c>
      <c r="E38" s="244">
        <v>11537.708</v>
      </c>
      <c r="F38" s="244">
        <v>0</v>
      </c>
      <c r="G38" s="244">
        <v>5.614</v>
      </c>
      <c r="H38" s="244">
        <v>152.783</v>
      </c>
      <c r="I38" s="244">
        <v>0</v>
      </c>
      <c r="J38" s="244">
        <v>8.475</v>
      </c>
      <c r="K38" s="244">
        <v>0</v>
      </c>
      <c r="L38" s="243">
        <v>0</v>
      </c>
      <c r="M38" s="244">
        <v>225.988</v>
      </c>
      <c r="N38" s="244">
        <v>0</v>
      </c>
      <c r="O38" s="244">
        <v>71.692</v>
      </c>
      <c r="P38" s="244">
        <v>0</v>
      </c>
      <c r="Q38" s="244">
        <v>723.867</v>
      </c>
      <c r="R38" s="244">
        <v>0</v>
      </c>
      <c r="S38" s="251"/>
    </row>
    <row r="39" spans="1:31" s="252" customFormat="1" ht="19.5" customHeight="1">
      <c r="A39" s="259" t="s">
        <v>14</v>
      </c>
      <c r="B39" s="250" t="s">
        <v>523</v>
      </c>
      <c r="C39" s="243">
        <f t="shared" si="7"/>
        <v>11632.585</v>
      </c>
      <c r="D39" s="244">
        <f t="shared" si="6"/>
        <v>11632.585</v>
      </c>
      <c r="E39" s="244">
        <v>11073.935</v>
      </c>
      <c r="F39" s="244">
        <v>0</v>
      </c>
      <c r="G39" s="244">
        <v>232.038</v>
      </c>
      <c r="H39" s="244">
        <v>80.35</v>
      </c>
      <c r="I39" s="244">
        <v>0</v>
      </c>
      <c r="J39" s="267">
        <v>0.319</v>
      </c>
      <c r="K39" s="244">
        <v>0</v>
      </c>
      <c r="L39" s="244">
        <v>0</v>
      </c>
      <c r="M39" s="244">
        <v>0</v>
      </c>
      <c r="N39" s="244">
        <v>0</v>
      </c>
      <c r="O39" s="244">
        <v>245.943</v>
      </c>
      <c r="P39" s="244">
        <v>0</v>
      </c>
      <c r="Q39" s="244">
        <v>0</v>
      </c>
      <c r="R39" s="244">
        <v>0</v>
      </c>
      <c r="S39" s="251"/>
      <c r="AE39" s="253"/>
    </row>
    <row r="40" spans="1:31" s="252" customFormat="1" ht="19.5" customHeight="1">
      <c r="A40" s="247" t="s">
        <v>15</v>
      </c>
      <c r="B40" s="250" t="s">
        <v>524</v>
      </c>
      <c r="C40" s="243">
        <f t="shared" si="7"/>
        <v>18326.737999999998</v>
      </c>
      <c r="D40" s="244">
        <f t="shared" si="6"/>
        <v>14797.750999999998</v>
      </c>
      <c r="E40" s="244">
        <v>10249.882</v>
      </c>
      <c r="F40" s="244">
        <v>0</v>
      </c>
      <c r="G40" s="244">
        <v>18.757</v>
      </c>
      <c r="H40" s="244">
        <v>80.02</v>
      </c>
      <c r="I40" s="244">
        <v>0</v>
      </c>
      <c r="J40" s="244">
        <v>109.892</v>
      </c>
      <c r="K40" s="244">
        <v>103.842</v>
      </c>
      <c r="L40" s="244">
        <v>0</v>
      </c>
      <c r="M40" s="244">
        <v>4048.799</v>
      </c>
      <c r="N40" s="244">
        <v>2.4</v>
      </c>
      <c r="O40" s="244">
        <v>184.159</v>
      </c>
      <c r="P40" s="244">
        <v>0</v>
      </c>
      <c r="Q40" s="244">
        <v>3528.987</v>
      </c>
      <c r="R40" s="244">
        <v>0</v>
      </c>
      <c r="S40" s="251"/>
      <c r="AE40" s="253"/>
    </row>
    <row r="41" spans="1:31" s="252" customFormat="1" ht="19.5" customHeight="1">
      <c r="A41" s="247" t="s">
        <v>16</v>
      </c>
      <c r="B41" s="250" t="s">
        <v>525</v>
      </c>
      <c r="C41" s="243">
        <f t="shared" si="7"/>
        <v>28195.855000000003</v>
      </c>
      <c r="D41" s="244">
        <f t="shared" si="6"/>
        <v>11979.248000000001</v>
      </c>
      <c r="E41" s="244">
        <v>11421.7</v>
      </c>
      <c r="F41" s="244">
        <v>0</v>
      </c>
      <c r="G41" s="244">
        <v>2.198</v>
      </c>
      <c r="H41" s="244">
        <v>120.83</v>
      </c>
      <c r="I41" s="244">
        <v>0</v>
      </c>
      <c r="J41" s="244">
        <v>0</v>
      </c>
      <c r="K41" s="244">
        <v>0</v>
      </c>
      <c r="L41" s="244">
        <v>0</v>
      </c>
      <c r="M41" s="244">
        <v>200</v>
      </c>
      <c r="N41" s="244">
        <v>0</v>
      </c>
      <c r="O41" s="244">
        <v>234.52</v>
      </c>
      <c r="P41" s="244">
        <v>0</v>
      </c>
      <c r="Q41" s="244">
        <v>16216.607</v>
      </c>
      <c r="R41" s="244">
        <v>0</v>
      </c>
      <c r="S41" s="251"/>
      <c r="AE41" s="253"/>
    </row>
    <row r="42" spans="1:31" s="252" customFormat="1" ht="19.5" customHeight="1">
      <c r="A42" s="247" t="s">
        <v>17</v>
      </c>
      <c r="B42" s="250" t="s">
        <v>526</v>
      </c>
      <c r="C42" s="243">
        <f>SUM(D42,Q42,R42)</f>
        <v>12190.110999999999</v>
      </c>
      <c r="D42" s="244">
        <f>SUM(E42:P42)</f>
        <v>12190.110999999999</v>
      </c>
      <c r="E42" s="244">
        <v>11063.034</v>
      </c>
      <c r="F42" s="244">
        <v>0</v>
      </c>
      <c r="G42" s="244">
        <v>0.755</v>
      </c>
      <c r="H42" s="244">
        <v>143.294</v>
      </c>
      <c r="I42" s="244">
        <v>0</v>
      </c>
      <c r="J42" s="244">
        <v>0</v>
      </c>
      <c r="K42" s="244">
        <v>0</v>
      </c>
      <c r="L42" s="244">
        <v>0</v>
      </c>
      <c r="M42" s="244">
        <v>653.048</v>
      </c>
      <c r="N42" s="244">
        <v>2.4</v>
      </c>
      <c r="O42" s="244">
        <v>327.58</v>
      </c>
      <c r="P42" s="244">
        <v>0</v>
      </c>
      <c r="Q42" s="244">
        <v>0</v>
      </c>
      <c r="R42" s="244">
        <v>0</v>
      </c>
      <c r="S42" s="251"/>
      <c r="AE42" s="253"/>
    </row>
    <row r="43" spans="1:31" s="252" customFormat="1" ht="19.5" customHeight="1">
      <c r="A43" s="247" t="s">
        <v>18</v>
      </c>
      <c r="B43" s="250" t="s">
        <v>527</v>
      </c>
      <c r="C43" s="243">
        <f t="shared" si="7"/>
        <v>15211.685</v>
      </c>
      <c r="D43" s="244">
        <f t="shared" si="6"/>
        <v>13819.409</v>
      </c>
      <c r="E43" s="244">
        <v>10344.136</v>
      </c>
      <c r="F43" s="244">
        <v>0</v>
      </c>
      <c r="G43" s="244">
        <v>40.887</v>
      </c>
      <c r="H43" s="244">
        <v>99.855</v>
      </c>
      <c r="I43" s="244">
        <v>0</v>
      </c>
      <c r="J43" s="244">
        <v>0</v>
      </c>
      <c r="K43" s="244">
        <v>0</v>
      </c>
      <c r="L43" s="244">
        <v>0</v>
      </c>
      <c r="M43" s="244">
        <v>3038.138</v>
      </c>
      <c r="N43" s="244">
        <v>12.8</v>
      </c>
      <c r="O43" s="244">
        <v>283.593</v>
      </c>
      <c r="P43" s="244">
        <v>0</v>
      </c>
      <c r="Q43" s="244">
        <v>1392.276</v>
      </c>
      <c r="R43" s="244">
        <v>0</v>
      </c>
      <c r="S43" s="251"/>
      <c r="AE43" s="253"/>
    </row>
    <row r="44" spans="1:31" s="252" customFormat="1" ht="19.5" customHeight="1">
      <c r="A44" s="247" t="s">
        <v>528</v>
      </c>
      <c r="B44" s="250" t="s">
        <v>529</v>
      </c>
      <c r="C44" s="243">
        <f t="shared" si="7"/>
        <v>69687.044</v>
      </c>
      <c r="D44" s="244">
        <f>SUM(E44:P44)</f>
        <v>69687.044</v>
      </c>
      <c r="E44" s="244">
        <v>11526.249</v>
      </c>
      <c r="F44" s="244">
        <v>0</v>
      </c>
      <c r="G44" s="244">
        <v>6.23</v>
      </c>
      <c r="H44" s="244">
        <v>137.58</v>
      </c>
      <c r="I44" s="244">
        <v>0</v>
      </c>
      <c r="J44" s="244">
        <v>14.408</v>
      </c>
      <c r="K44" s="244">
        <v>0</v>
      </c>
      <c r="L44" s="244">
        <v>0</v>
      </c>
      <c r="M44" s="244">
        <v>57644.501</v>
      </c>
      <c r="N44" s="244">
        <v>2.4</v>
      </c>
      <c r="O44" s="244">
        <v>355.676</v>
      </c>
      <c r="P44" s="244">
        <v>0</v>
      </c>
      <c r="Q44" s="244">
        <v>0</v>
      </c>
      <c r="R44" s="244">
        <v>0</v>
      </c>
      <c r="S44" s="251"/>
      <c r="AE44" s="253"/>
    </row>
    <row r="45" spans="1:19" s="31" customFormat="1" ht="6" customHeight="1" thickBot="1">
      <c r="A45" s="127"/>
      <c r="B45" s="33"/>
      <c r="C45" s="129"/>
      <c r="D45" s="35"/>
      <c r="E45" s="35"/>
      <c r="F45" s="2"/>
      <c r="G45" s="2"/>
      <c r="H45" s="35"/>
      <c r="I45" s="2"/>
      <c r="J45" s="35"/>
      <c r="K45" s="2"/>
      <c r="L45" s="2"/>
      <c r="M45" s="35"/>
      <c r="N45" s="2"/>
      <c r="O45" s="35"/>
      <c r="P45" s="2"/>
      <c r="Q45" s="2"/>
      <c r="R45" s="2"/>
      <c r="S45" s="28"/>
    </row>
    <row r="46" spans="1:18" ht="17.25" customHeight="1">
      <c r="A46" s="255" t="s">
        <v>432</v>
      </c>
      <c r="B46" s="36"/>
      <c r="C46" s="11"/>
      <c r="D46" s="11"/>
      <c r="E46" s="26"/>
      <c r="F46" s="11"/>
      <c r="G46" s="11"/>
      <c r="H46" s="11"/>
      <c r="I46" s="11"/>
      <c r="J46" s="11"/>
      <c r="K46" s="11"/>
      <c r="L46" s="37"/>
      <c r="M46" s="11"/>
      <c r="N46" s="11"/>
      <c r="O46" s="11"/>
      <c r="P46" s="11"/>
      <c r="Q46" s="37"/>
      <c r="R46" s="37"/>
    </row>
    <row r="47" spans="1:5" ht="13.5" customHeight="1">
      <c r="A47" s="255" t="s">
        <v>431</v>
      </c>
      <c r="B47" s="38"/>
      <c r="E47" s="26"/>
    </row>
    <row r="48" spans="1:5" ht="16.5">
      <c r="A48" s="27"/>
      <c r="E48" s="26"/>
    </row>
    <row r="49" ht="16.5">
      <c r="E49" s="26" t="s">
        <v>494</v>
      </c>
    </row>
    <row r="50" ht="16.5">
      <c r="E50" s="26"/>
    </row>
    <row r="51" ht="16.5">
      <c r="E51" s="26"/>
    </row>
    <row r="52" ht="16.5">
      <c r="E52" s="26"/>
    </row>
    <row r="53" ht="16.5">
      <c r="E53" s="26"/>
    </row>
    <row r="54" ht="16.5">
      <c r="E54" s="26"/>
    </row>
    <row r="55" ht="16.5">
      <c r="E55" s="26"/>
    </row>
    <row r="56" ht="16.5">
      <c r="E56" s="26"/>
    </row>
    <row r="57" ht="16.5">
      <c r="E57" s="26"/>
    </row>
    <row r="58" ht="16.5">
      <c r="E58" s="26"/>
    </row>
    <row r="59" ht="16.5">
      <c r="E59" s="26"/>
    </row>
    <row r="60" ht="16.5">
      <c r="E60" s="26"/>
    </row>
    <row r="61" ht="16.5">
      <c r="E61" s="26"/>
    </row>
    <row r="62" ht="16.5">
      <c r="E62" s="26"/>
    </row>
    <row r="63" ht="16.5">
      <c r="E63" s="26"/>
    </row>
    <row r="64" ht="16.5">
      <c r="E64" s="26"/>
    </row>
    <row r="65" ht="16.5">
      <c r="E65" s="26"/>
    </row>
    <row r="66" ht="16.5">
      <c r="E66" s="26"/>
    </row>
    <row r="67" ht="16.5">
      <c r="E67" s="26"/>
    </row>
    <row r="68" ht="16.5">
      <c r="E68" s="26"/>
    </row>
    <row r="69" ht="16.5">
      <c r="E69" s="26"/>
    </row>
    <row r="70" ht="16.5">
      <c r="E70" s="26"/>
    </row>
    <row r="71" ht="16.5">
      <c r="E71" s="26"/>
    </row>
    <row r="72" ht="16.5">
      <c r="E72" s="26"/>
    </row>
    <row r="73" ht="16.5">
      <c r="E73" s="26"/>
    </row>
    <row r="74" ht="16.5">
      <c r="E74" s="26"/>
    </row>
    <row r="75" ht="16.5">
      <c r="E75" s="26"/>
    </row>
    <row r="76" ht="16.5">
      <c r="E76" s="26"/>
    </row>
    <row r="77" ht="16.5">
      <c r="E77" s="26"/>
    </row>
    <row r="78" ht="16.5">
      <c r="E78" s="26"/>
    </row>
    <row r="79" ht="16.5">
      <c r="E79" s="26"/>
    </row>
    <row r="80" ht="16.5">
      <c r="E80" s="26"/>
    </row>
    <row r="81" ht="16.5">
      <c r="E81" s="26"/>
    </row>
    <row r="82" ht="16.5">
      <c r="E82" s="26"/>
    </row>
    <row r="83" ht="16.5">
      <c r="E83" s="26"/>
    </row>
    <row r="84" ht="16.5">
      <c r="E84" s="26"/>
    </row>
    <row r="85" ht="16.5">
      <c r="E85" s="26"/>
    </row>
    <row r="86" ht="16.5">
      <c r="E86" s="26"/>
    </row>
    <row r="87" ht="16.5">
      <c r="E87" s="26"/>
    </row>
    <row r="88" ht="16.5">
      <c r="E88" s="26"/>
    </row>
    <row r="89" ht="16.5">
      <c r="E89" s="26"/>
    </row>
    <row r="90" ht="16.5">
      <c r="E90" s="26"/>
    </row>
    <row r="91" ht="16.5">
      <c r="E91" s="26"/>
    </row>
    <row r="92" ht="16.5">
      <c r="E92" s="26"/>
    </row>
    <row r="93" ht="16.5">
      <c r="E93" s="26"/>
    </row>
    <row r="94" ht="16.5">
      <c r="E94" s="26"/>
    </row>
  </sheetData>
  <sheetProtection/>
  <mergeCells count="33">
    <mergeCell ref="D7:D8"/>
    <mergeCell ref="D9:D10"/>
    <mergeCell ref="E9:E10"/>
    <mergeCell ref="I7:I8"/>
    <mergeCell ref="M7:M8"/>
    <mergeCell ref="P9:P10"/>
    <mergeCell ref="G7:G8"/>
    <mergeCell ref="H7:H8"/>
    <mergeCell ref="J7:K7"/>
    <mergeCell ref="Q1:R1"/>
    <mergeCell ref="R6:R8"/>
    <mergeCell ref="A6:B8"/>
    <mergeCell ref="A9:B10"/>
    <mergeCell ref="C6:C8"/>
    <mergeCell ref="C9:C10"/>
    <mergeCell ref="Q9:Q10"/>
    <mergeCell ref="N7:N8"/>
    <mergeCell ref="E7:E8"/>
    <mergeCell ref="F7:F8"/>
    <mergeCell ref="Q6:Q8"/>
    <mergeCell ref="O7:O8"/>
    <mergeCell ref="P7:P8"/>
    <mergeCell ref="J8:K8"/>
    <mergeCell ref="L7:L8"/>
    <mergeCell ref="F9:F10"/>
    <mergeCell ref="G9:G10"/>
    <mergeCell ref="H9:H10"/>
    <mergeCell ref="R9:R10"/>
    <mergeCell ref="L9:L10"/>
    <mergeCell ref="M9:M10"/>
    <mergeCell ref="N9:N10"/>
    <mergeCell ref="O9:O10"/>
    <mergeCell ref="I9:I10"/>
  </mergeCells>
  <printOptions/>
  <pageMargins left="0.7480314960629921" right="0.7480314960629921" top="0.5905511811023623" bottom="0.472440944881889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0"/>
  <sheetViews>
    <sheetView zoomScale="120" zoomScaleNormal="120" zoomScalePageLayoutView="0" workbookViewId="0" topLeftCell="A1">
      <pane ySplit="6" topLeftCell="A31" activePane="bottomLeft" state="frozen"/>
      <selection pane="topLeft" activeCell="A1" sqref="A1"/>
      <selection pane="bottomLeft" activeCell="P33" sqref="P33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6.5">
      <c r="A1" s="3" t="s">
        <v>466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467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409</v>
      </c>
      <c r="B2" s="112"/>
      <c r="C2" s="112"/>
      <c r="D2" s="112"/>
      <c r="E2" s="112"/>
      <c r="F2" s="112"/>
      <c r="G2" s="112"/>
      <c r="H2" s="112"/>
      <c r="I2" s="113"/>
      <c r="J2" s="202" t="s">
        <v>410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211</v>
      </c>
      <c r="B3" s="116"/>
      <c r="C3" s="112"/>
      <c r="D3" s="112"/>
      <c r="E3" s="112"/>
      <c r="F3" s="112"/>
      <c r="G3" s="112"/>
      <c r="H3" s="112"/>
      <c r="I3" s="113"/>
      <c r="J3" s="116" t="s">
        <v>268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2" t="s">
        <v>185</v>
      </c>
      <c r="B4" s="122"/>
      <c r="C4" s="122"/>
      <c r="D4" s="122"/>
      <c r="E4" s="122"/>
      <c r="F4" s="122"/>
      <c r="G4" s="107"/>
      <c r="H4" s="107"/>
      <c r="I4" s="107"/>
      <c r="J4" s="107"/>
      <c r="K4" s="122"/>
      <c r="L4" s="122"/>
      <c r="M4" s="122"/>
      <c r="N4" s="122"/>
      <c r="O4" s="122"/>
      <c r="P4" s="144" t="s">
        <v>269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0" t="s">
        <v>1</v>
      </c>
      <c r="B5" s="200"/>
      <c r="C5" s="201" t="s">
        <v>5</v>
      </c>
      <c r="D5" s="150" t="s">
        <v>490</v>
      </c>
      <c r="E5" s="150" t="s">
        <v>39</v>
      </c>
      <c r="F5" s="150" t="s">
        <v>40</v>
      </c>
      <c r="G5" s="150" t="s">
        <v>41</v>
      </c>
      <c r="H5" s="201" t="s">
        <v>42</v>
      </c>
      <c r="I5" s="201" t="s">
        <v>6</v>
      </c>
      <c r="J5" s="171" t="s">
        <v>43</v>
      </c>
      <c r="K5" s="150" t="s">
        <v>44</v>
      </c>
      <c r="L5" s="150" t="s">
        <v>45</v>
      </c>
      <c r="M5" s="201" t="s">
        <v>46</v>
      </c>
      <c r="N5" s="150" t="s">
        <v>57</v>
      </c>
      <c r="O5" s="150" t="s">
        <v>29</v>
      </c>
      <c r="P5" s="150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44.25" customHeight="1" thickBot="1">
      <c r="A6" s="181" t="s">
        <v>270</v>
      </c>
      <c r="B6" s="123"/>
      <c r="C6" s="154" t="s">
        <v>187</v>
      </c>
      <c r="D6" s="154" t="s">
        <v>271</v>
      </c>
      <c r="E6" s="269" t="s">
        <v>485</v>
      </c>
      <c r="F6" s="154" t="s">
        <v>272</v>
      </c>
      <c r="G6" s="154" t="s">
        <v>273</v>
      </c>
      <c r="H6" s="154" t="s">
        <v>133</v>
      </c>
      <c r="I6" s="154" t="s">
        <v>232</v>
      </c>
      <c r="J6" s="152" t="s">
        <v>233</v>
      </c>
      <c r="K6" s="154" t="s">
        <v>234</v>
      </c>
      <c r="L6" s="154" t="s">
        <v>235</v>
      </c>
      <c r="M6" s="154" t="s">
        <v>274</v>
      </c>
      <c r="N6" s="154" t="s">
        <v>275</v>
      </c>
      <c r="O6" s="154" t="s">
        <v>276</v>
      </c>
      <c r="P6" s="154" t="s">
        <v>277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 hidden="1">
      <c r="A7" s="76" t="s">
        <v>402</v>
      </c>
      <c r="B7" s="208" t="s">
        <v>306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28.5" customHeight="1" hidden="1">
      <c r="A8" s="76" t="s">
        <v>344</v>
      </c>
      <c r="B8" s="208" t="s">
        <v>347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9.75" customHeight="1" hidden="1">
      <c r="A9" s="76"/>
      <c r="B9" s="208"/>
      <c r="C9" s="66"/>
      <c r="D9" s="66"/>
      <c r="E9" s="66"/>
      <c r="F9" s="66"/>
      <c r="G9" s="66"/>
      <c r="H9" s="66"/>
      <c r="I9" s="1"/>
      <c r="J9" s="118"/>
      <c r="K9" s="118"/>
      <c r="L9" s="120"/>
      <c r="M9" s="118"/>
      <c r="N9" s="118"/>
      <c r="O9" s="118"/>
      <c r="P9" s="11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28.5" customHeight="1" hidden="1">
      <c r="A10" s="137" t="s">
        <v>348</v>
      </c>
      <c r="B10" s="199" t="s">
        <v>349</v>
      </c>
      <c r="C10" s="66">
        <f>SUM(D10:P10)+SUM('6-3鄉決出續'!C9:O9)</f>
        <v>153457</v>
      </c>
      <c r="D10" s="66">
        <v>13463</v>
      </c>
      <c r="E10" s="66">
        <v>42904</v>
      </c>
      <c r="F10" s="66">
        <v>7072</v>
      </c>
      <c r="G10" s="66">
        <v>82</v>
      </c>
      <c r="H10" s="66">
        <v>550</v>
      </c>
      <c r="I10" s="1">
        <v>0</v>
      </c>
      <c r="J10" s="118">
        <v>465</v>
      </c>
      <c r="K10" s="118">
        <v>4325</v>
      </c>
      <c r="L10" s="120">
        <v>0</v>
      </c>
      <c r="M10" s="118">
        <v>62075</v>
      </c>
      <c r="N10" s="118">
        <v>2713</v>
      </c>
      <c r="O10" s="118">
        <v>8</v>
      </c>
      <c r="P10" s="118">
        <v>1247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28.5" customHeight="1" hidden="1">
      <c r="A11" s="76" t="s">
        <v>350</v>
      </c>
      <c r="B11" s="208" t="s">
        <v>351</v>
      </c>
      <c r="C11" s="66">
        <f>SUM(D11:P11)+SUM('6-3鄉決出續'!C11:O11)</f>
        <v>73106</v>
      </c>
      <c r="D11" s="66">
        <v>10865</v>
      </c>
      <c r="E11" s="66">
        <v>29966</v>
      </c>
      <c r="F11" s="66">
        <v>6099</v>
      </c>
      <c r="G11" s="66">
        <v>42</v>
      </c>
      <c r="H11" s="66">
        <v>214</v>
      </c>
      <c r="I11" s="1">
        <v>0</v>
      </c>
      <c r="J11" s="119">
        <v>293</v>
      </c>
      <c r="K11" s="119">
        <v>440</v>
      </c>
      <c r="L11" s="120">
        <v>0</v>
      </c>
      <c r="M11" s="119">
        <v>12250</v>
      </c>
      <c r="N11" s="119">
        <v>497</v>
      </c>
      <c r="O11" s="120">
        <v>0</v>
      </c>
      <c r="P11" s="119">
        <v>596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8.5" customHeight="1" hidden="1">
      <c r="A12" s="76" t="s">
        <v>352</v>
      </c>
      <c r="B12" s="208" t="s">
        <v>353</v>
      </c>
      <c r="C12" s="66">
        <f>SUM(D12:P12)+SUM('6-3鄉決出續'!C12:O12)</f>
        <v>118316</v>
      </c>
      <c r="D12" s="66">
        <v>11520</v>
      </c>
      <c r="E12" s="66">
        <v>33759</v>
      </c>
      <c r="F12" s="66">
        <v>8551</v>
      </c>
      <c r="G12" s="66">
        <v>69</v>
      </c>
      <c r="H12" s="66">
        <v>740</v>
      </c>
      <c r="I12" s="1">
        <v>0</v>
      </c>
      <c r="J12" s="118">
        <v>380</v>
      </c>
      <c r="K12" s="118">
        <v>1689</v>
      </c>
      <c r="L12" s="120">
        <v>0</v>
      </c>
      <c r="M12" s="118">
        <v>23303</v>
      </c>
      <c r="N12" s="118">
        <v>804</v>
      </c>
      <c r="O12" s="120">
        <v>0</v>
      </c>
      <c r="P12" s="118">
        <v>292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8.5" customHeight="1">
      <c r="A13" s="137" t="s">
        <v>354</v>
      </c>
      <c r="B13" s="199" t="s">
        <v>355</v>
      </c>
      <c r="C13" s="66">
        <f>SUM(D13:P13)+SUM('6-3鄉決出續'!C13:O13)</f>
        <v>169179</v>
      </c>
      <c r="D13" s="66">
        <v>12072</v>
      </c>
      <c r="E13" s="66">
        <v>36337</v>
      </c>
      <c r="F13" s="66">
        <v>11947</v>
      </c>
      <c r="G13" s="66">
        <v>126</v>
      </c>
      <c r="H13" s="66">
        <v>809</v>
      </c>
      <c r="I13" s="66">
        <v>0</v>
      </c>
      <c r="J13" s="118">
        <v>378</v>
      </c>
      <c r="K13" s="118">
        <v>3286</v>
      </c>
      <c r="L13" s="120">
        <v>0</v>
      </c>
      <c r="M13" s="118">
        <v>90432</v>
      </c>
      <c r="N13" s="118">
        <v>1293</v>
      </c>
      <c r="O13" s="118">
        <v>11</v>
      </c>
      <c r="P13" s="118">
        <v>421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8.5" customHeight="1">
      <c r="A14" s="137" t="s">
        <v>356</v>
      </c>
      <c r="B14" s="199" t="s">
        <v>357</v>
      </c>
      <c r="C14" s="66">
        <f>SUM(D14:P14)+SUM('6-3鄉決出續'!C14:O14)</f>
        <v>146751</v>
      </c>
      <c r="D14" s="66">
        <v>12964</v>
      </c>
      <c r="E14" s="66">
        <v>38309</v>
      </c>
      <c r="F14" s="66">
        <v>12834</v>
      </c>
      <c r="G14" s="66">
        <v>176</v>
      </c>
      <c r="H14" s="66">
        <v>1749</v>
      </c>
      <c r="I14" s="66">
        <v>0</v>
      </c>
      <c r="J14" s="118">
        <v>492</v>
      </c>
      <c r="K14" s="118">
        <v>5857</v>
      </c>
      <c r="L14" s="120">
        <v>0</v>
      </c>
      <c r="M14" s="118">
        <v>54557</v>
      </c>
      <c r="N14" s="118">
        <v>798</v>
      </c>
      <c r="O14" s="118">
        <v>20</v>
      </c>
      <c r="P14" s="118">
        <v>330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8.5" customHeight="1">
      <c r="A15" s="137" t="s">
        <v>294</v>
      </c>
      <c r="B15" s="199" t="s">
        <v>290</v>
      </c>
      <c r="C15" s="66">
        <f>SUM(D15:P15)+SUM('6-3鄉決出續'!C15:O15)</f>
        <v>152630</v>
      </c>
      <c r="D15" s="66">
        <v>13523</v>
      </c>
      <c r="E15" s="66">
        <v>37373</v>
      </c>
      <c r="F15" s="66">
        <v>9916</v>
      </c>
      <c r="G15" s="66">
        <v>92</v>
      </c>
      <c r="H15" s="66">
        <v>447</v>
      </c>
      <c r="I15" s="66">
        <v>0</v>
      </c>
      <c r="J15" s="118">
        <v>389</v>
      </c>
      <c r="K15" s="118">
        <v>3505</v>
      </c>
      <c r="L15" s="120">
        <v>0</v>
      </c>
      <c r="M15" s="118">
        <v>55518</v>
      </c>
      <c r="N15" s="118">
        <v>6858</v>
      </c>
      <c r="O15" s="118">
        <v>67</v>
      </c>
      <c r="P15" s="118">
        <v>1280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8.5" customHeight="1">
      <c r="A16" s="137" t="s">
        <v>376</v>
      </c>
      <c r="B16" s="199" t="s">
        <v>375</v>
      </c>
      <c r="C16" s="66">
        <f>SUM(D16:P16)+SUM('6-3鄉決出續'!C16:O16)</f>
        <v>129645</v>
      </c>
      <c r="D16" s="66">
        <v>13854</v>
      </c>
      <c r="E16" s="66">
        <v>18048</v>
      </c>
      <c r="F16" s="66">
        <v>18782</v>
      </c>
      <c r="G16" s="66">
        <v>128</v>
      </c>
      <c r="H16" s="66">
        <v>1870</v>
      </c>
      <c r="I16" s="66">
        <v>0</v>
      </c>
      <c r="J16" s="118">
        <v>1525</v>
      </c>
      <c r="K16" s="118">
        <v>6221</v>
      </c>
      <c r="L16" s="120">
        <v>0</v>
      </c>
      <c r="M16" s="118">
        <v>34000</v>
      </c>
      <c r="N16" s="118">
        <v>5695</v>
      </c>
      <c r="O16" s="118">
        <v>20</v>
      </c>
      <c r="P16" s="118">
        <v>7532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8.5" customHeight="1">
      <c r="A17" s="137" t="s">
        <v>382</v>
      </c>
      <c r="B17" s="199" t="s">
        <v>381</v>
      </c>
      <c r="C17" s="66">
        <f>SUM(D17:P17)+SUM('6-3鄉決出續'!C17:O17)</f>
        <v>124156</v>
      </c>
      <c r="D17" s="66">
        <v>14040</v>
      </c>
      <c r="E17" s="66">
        <v>16374</v>
      </c>
      <c r="F17" s="66">
        <v>16490</v>
      </c>
      <c r="G17" s="66">
        <v>98</v>
      </c>
      <c r="H17" s="66">
        <v>2775</v>
      </c>
      <c r="I17" s="66">
        <v>0</v>
      </c>
      <c r="J17" s="118">
        <v>1360</v>
      </c>
      <c r="K17" s="118">
        <v>7134</v>
      </c>
      <c r="L17" s="120">
        <v>0</v>
      </c>
      <c r="M17" s="118">
        <v>36544</v>
      </c>
      <c r="N17" s="118">
        <v>6215</v>
      </c>
      <c r="O17" s="118">
        <v>56</v>
      </c>
      <c r="P17" s="118">
        <v>6167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8.5" customHeight="1">
      <c r="A18" s="137" t="s">
        <v>383</v>
      </c>
      <c r="B18" s="199" t="s">
        <v>384</v>
      </c>
      <c r="C18" s="66">
        <f>SUM(D18:P18)+SUM('6-3鄉決出續'!C18:O18)</f>
        <v>128645</v>
      </c>
      <c r="D18" s="66">
        <v>14572</v>
      </c>
      <c r="E18" s="66">
        <v>16314</v>
      </c>
      <c r="F18" s="66">
        <v>14579</v>
      </c>
      <c r="G18" s="66">
        <v>118</v>
      </c>
      <c r="H18" s="66">
        <v>3154</v>
      </c>
      <c r="I18" s="66">
        <v>0</v>
      </c>
      <c r="J18" s="118">
        <v>1549</v>
      </c>
      <c r="K18" s="118">
        <v>6573</v>
      </c>
      <c r="L18" s="120">
        <v>0</v>
      </c>
      <c r="M18" s="118">
        <v>41653</v>
      </c>
      <c r="N18" s="118">
        <v>6301</v>
      </c>
      <c r="O18" s="118">
        <v>23</v>
      </c>
      <c r="P18" s="118">
        <v>5914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8.5" customHeight="1">
      <c r="A19" s="137" t="s">
        <v>388</v>
      </c>
      <c r="B19" s="199" t="s">
        <v>389</v>
      </c>
      <c r="C19" s="66">
        <f>SUM(D19:P19)+SUM('6-3鄉決出續'!C19:O19)</f>
        <v>86488.70199999999</v>
      </c>
      <c r="D19" s="66">
        <v>14249.098</v>
      </c>
      <c r="E19" s="66">
        <v>13395.356</v>
      </c>
      <c r="F19" s="66">
        <v>14755.17</v>
      </c>
      <c r="G19" s="66">
        <v>116.279</v>
      </c>
      <c r="H19" s="66">
        <v>2720.564</v>
      </c>
      <c r="I19" s="66">
        <v>0</v>
      </c>
      <c r="J19" s="118">
        <v>1858.564</v>
      </c>
      <c r="K19" s="118">
        <v>6803.052</v>
      </c>
      <c r="L19" s="120">
        <v>0</v>
      </c>
      <c r="M19" s="118">
        <v>2988.812</v>
      </c>
      <c r="N19" s="118">
        <v>6956.931</v>
      </c>
      <c r="O19" s="118">
        <v>17.004</v>
      </c>
      <c r="P19" s="118">
        <v>6020.575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8.5" customHeight="1">
      <c r="A20" s="137" t="s">
        <v>395</v>
      </c>
      <c r="B20" s="199" t="s">
        <v>396</v>
      </c>
      <c r="C20" s="66">
        <f>SUM(D20:P20)+SUM('6-3鄉決出續'!C20:O20)</f>
        <v>244039.05599999995</v>
      </c>
      <c r="D20" s="66">
        <f>13874.434+500</f>
        <v>14374.434</v>
      </c>
      <c r="E20" s="66">
        <f>13794.227+789.631</f>
        <v>14583.858</v>
      </c>
      <c r="F20" s="66">
        <f>25453.479+421</f>
        <v>25874.479</v>
      </c>
      <c r="G20" s="66">
        <v>93.505</v>
      </c>
      <c r="H20" s="66">
        <v>3174.286</v>
      </c>
      <c r="I20" s="66">
        <v>0</v>
      </c>
      <c r="J20" s="118">
        <v>3067.475</v>
      </c>
      <c r="K20" s="118">
        <f>20821.6+2520.452</f>
        <v>23342.052</v>
      </c>
      <c r="L20" s="120">
        <v>0</v>
      </c>
      <c r="M20" s="118">
        <f>4700.279+100082.151</f>
        <v>104782.43</v>
      </c>
      <c r="N20" s="118">
        <f>1805.211+12834.361</f>
        <v>14639.572</v>
      </c>
      <c r="O20" s="118">
        <v>0</v>
      </c>
      <c r="P20" s="118">
        <v>15882.8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8.5" customHeight="1">
      <c r="A21" s="137" t="s">
        <v>397</v>
      </c>
      <c r="B21" s="199" t="s">
        <v>398</v>
      </c>
      <c r="C21" s="66">
        <f>SUM(D21:P21)+SUM('6-3鄉決出續'!C21:O21)</f>
        <v>168010.01300000004</v>
      </c>
      <c r="D21" s="66">
        <f>13675.531+1000</f>
        <v>14675.531</v>
      </c>
      <c r="E21" s="66">
        <f>13292.749+710.658</f>
        <v>14003.407</v>
      </c>
      <c r="F21" s="66">
        <f>20893.219+800</f>
        <v>21693.219</v>
      </c>
      <c r="G21" s="66">
        <v>87.366</v>
      </c>
      <c r="H21" s="66">
        <v>3458.879</v>
      </c>
      <c r="I21" s="66">
        <v>0</v>
      </c>
      <c r="J21" s="118">
        <f>3780.847+140</f>
        <v>3920.847</v>
      </c>
      <c r="K21" s="118">
        <f>19471.29+7946.79</f>
        <v>27418.08</v>
      </c>
      <c r="L21" s="120">
        <v>0</v>
      </c>
      <c r="M21" s="118">
        <f>4432.591+40158.849</f>
        <v>44591.44</v>
      </c>
      <c r="N21" s="118">
        <f>1925.24+7182.989</f>
        <v>9108.229</v>
      </c>
      <c r="O21" s="118">
        <v>0</v>
      </c>
      <c r="P21" s="118">
        <v>6498.929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8.5" customHeight="1">
      <c r="A22" s="137" t="s">
        <v>415</v>
      </c>
      <c r="B22" s="199" t="s">
        <v>416</v>
      </c>
      <c r="C22" s="66">
        <f>SUM(D22:P22)+SUM('6-3鄉決出續'!C22:O22)</f>
        <v>217675.06</v>
      </c>
      <c r="D22" s="66">
        <f>14395.945+800</f>
        <v>15195.945</v>
      </c>
      <c r="E22" s="66">
        <f>13424.336+1363.867</f>
        <v>14788.203</v>
      </c>
      <c r="F22" s="66">
        <f>21466.98+5652.6</f>
        <v>27119.58</v>
      </c>
      <c r="G22" s="66">
        <v>123.267</v>
      </c>
      <c r="H22" s="66">
        <v>3602.428</v>
      </c>
      <c r="I22" s="66">
        <v>0</v>
      </c>
      <c r="J22" s="118">
        <v>13445.198</v>
      </c>
      <c r="K22" s="118">
        <f>19579.715+1127.8</f>
        <v>20707.515</v>
      </c>
      <c r="L22" s="120">
        <v>0</v>
      </c>
      <c r="M22" s="118">
        <f>3552.813+90534.345</f>
        <v>94087.158</v>
      </c>
      <c r="N22" s="118">
        <f>819.751+256.533</f>
        <v>1076.284</v>
      </c>
      <c r="O22" s="118">
        <v>0</v>
      </c>
      <c r="P22" s="118">
        <v>6645.509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8.5" customHeight="1">
      <c r="A23" s="137" t="s">
        <v>417</v>
      </c>
      <c r="B23" s="199" t="s">
        <v>418</v>
      </c>
      <c r="C23" s="66">
        <f>SUM(D23:P23)+SUM('6-3鄉決出續'!C23:O23)</f>
        <v>177180.70299999998</v>
      </c>
      <c r="D23" s="66">
        <f>15007.663+34.949</f>
        <v>15042.612000000001</v>
      </c>
      <c r="E23" s="66">
        <f>13807.277+1539.91</f>
        <v>15347.187</v>
      </c>
      <c r="F23" s="66">
        <f>21013.474+6399.092</f>
        <v>27412.566</v>
      </c>
      <c r="G23" s="66">
        <v>140.843</v>
      </c>
      <c r="H23" s="66">
        <v>10452.703</v>
      </c>
      <c r="I23" s="66">
        <v>0</v>
      </c>
      <c r="J23" s="118">
        <f>3782.502+67.416</f>
        <v>3849.918</v>
      </c>
      <c r="K23" s="118">
        <f>14394.132+6298.374</f>
        <v>20692.506</v>
      </c>
      <c r="L23" s="120">
        <v>0</v>
      </c>
      <c r="M23" s="118">
        <f>4081.274+48113.994</f>
        <v>52195.268</v>
      </c>
      <c r="N23" s="118">
        <f>817.653+3384.476</f>
        <v>4202.129</v>
      </c>
      <c r="O23" s="118">
        <v>332.663</v>
      </c>
      <c r="P23" s="118">
        <v>6486.147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8.5" customHeight="1">
      <c r="A24" s="137" t="s">
        <v>439</v>
      </c>
      <c r="B24" s="199" t="s">
        <v>440</v>
      </c>
      <c r="C24" s="66">
        <f>SUM(D24:P24)+SUM('6-3鄉決出續'!C24:O24)</f>
        <v>287180.59900000005</v>
      </c>
      <c r="D24" s="66">
        <f>14751.807+6051.987</f>
        <v>20803.794</v>
      </c>
      <c r="E24" s="66">
        <f>14300.595+3110.294</f>
        <v>17410.889</v>
      </c>
      <c r="F24" s="66">
        <f>25188.792+89889.478</f>
        <v>115078.27</v>
      </c>
      <c r="G24" s="66">
        <v>149.763</v>
      </c>
      <c r="H24" s="66">
        <v>4756.16</v>
      </c>
      <c r="I24" s="66">
        <v>0</v>
      </c>
      <c r="J24" s="118">
        <f>3490.965+7.416</f>
        <v>3498.3810000000003</v>
      </c>
      <c r="K24" s="118">
        <f>16816.946+3480.467</f>
        <v>20297.413</v>
      </c>
      <c r="L24" s="120">
        <v>0</v>
      </c>
      <c r="M24" s="118">
        <f>4523.641+66285.789</f>
        <v>70809.43000000001</v>
      </c>
      <c r="N24" s="118">
        <f>710.836+4696.59</f>
        <v>5407.426</v>
      </c>
      <c r="O24" s="118">
        <v>339.129</v>
      </c>
      <c r="P24" s="118">
        <v>6884.082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8.5" customHeight="1">
      <c r="A25" s="137" t="s">
        <v>445</v>
      </c>
      <c r="B25" s="199" t="s">
        <v>446</v>
      </c>
      <c r="C25" s="66">
        <f>SUM(D25:P25)+SUM('6-3鄉決出續'!C25:O25)</f>
        <v>184191.241</v>
      </c>
      <c r="D25" s="66">
        <f>14534.174+3623.672</f>
        <v>18157.846</v>
      </c>
      <c r="E25" s="66">
        <f>13108.928+1001.888</f>
        <v>14110.816</v>
      </c>
      <c r="F25" s="66">
        <f>20460.936+20194.503</f>
        <v>40655.439</v>
      </c>
      <c r="G25" s="66">
        <v>167.85</v>
      </c>
      <c r="H25" s="66">
        <v>7659.83</v>
      </c>
      <c r="I25" s="66">
        <v>0</v>
      </c>
      <c r="J25" s="118">
        <f>5289.977+2994.982</f>
        <v>8284.958999999999</v>
      </c>
      <c r="K25" s="118">
        <f>15035.117+4164.734</f>
        <v>19199.851000000002</v>
      </c>
      <c r="L25" s="120">
        <v>0</v>
      </c>
      <c r="M25" s="118">
        <f>4999.803+15229.366</f>
        <v>20229.169</v>
      </c>
      <c r="N25" s="118">
        <f>844.227+24639.359</f>
        <v>25483.586</v>
      </c>
      <c r="O25" s="118">
        <v>357.048</v>
      </c>
      <c r="P25" s="118">
        <v>6989.558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8.5" customHeight="1">
      <c r="A26" s="137" t="s">
        <v>476</v>
      </c>
      <c r="B26" s="199" t="s">
        <v>477</v>
      </c>
      <c r="C26" s="66">
        <f>SUM(D26:P26)+SUM('6-3鄉決出續'!C26:O26)</f>
        <v>187263.30800000002</v>
      </c>
      <c r="D26" s="66">
        <f>15468.294+1918</f>
        <v>17386.294</v>
      </c>
      <c r="E26" s="66">
        <f>14039.916+869.146</f>
        <v>14909.062</v>
      </c>
      <c r="F26" s="66">
        <f>18680.886+8742.15</f>
        <v>27423.036</v>
      </c>
      <c r="G26" s="66">
        <v>155.758</v>
      </c>
      <c r="H26" s="66">
        <f>8227.352+24.973</f>
        <v>8252.325</v>
      </c>
      <c r="I26" s="66">
        <v>0</v>
      </c>
      <c r="J26" s="118">
        <f>5748.231+59.682</f>
        <v>5807.913</v>
      </c>
      <c r="K26" s="118">
        <f>24946.659+14142.833</f>
        <v>39089.492</v>
      </c>
      <c r="L26" s="120">
        <v>0</v>
      </c>
      <c r="M26" s="118">
        <f>4484.519+31646.266</f>
        <v>36130.785</v>
      </c>
      <c r="N26" s="118">
        <f>1439.046+297.855</f>
        <v>1736.901</v>
      </c>
      <c r="O26" s="118">
        <v>326.687</v>
      </c>
      <c r="P26" s="118">
        <v>9985.158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8.5" customHeight="1">
      <c r="A27" s="137" t="s">
        <v>480</v>
      </c>
      <c r="B27" s="199" t="s">
        <v>483</v>
      </c>
      <c r="C27" s="66">
        <f>SUM(D27:P27)+SUM('6-3鄉決出續'!C27:O27)</f>
        <v>291354.175</v>
      </c>
      <c r="D27" s="66">
        <f>14577.136+1196.774</f>
        <v>15773.91</v>
      </c>
      <c r="E27" s="66">
        <f>15618.805+2999.919</f>
        <v>18618.724000000002</v>
      </c>
      <c r="F27" s="66">
        <f>20186.006+11827.692</f>
        <v>32013.698</v>
      </c>
      <c r="G27" s="66">
        <v>487.291</v>
      </c>
      <c r="H27" s="66">
        <v>8613.222</v>
      </c>
      <c r="I27" s="66">
        <v>0</v>
      </c>
      <c r="J27" s="118">
        <f>6539.64+339.945</f>
        <v>6879.585</v>
      </c>
      <c r="K27" s="118">
        <f>46579.498+18959.06</f>
        <v>65538.558</v>
      </c>
      <c r="L27" s="120">
        <v>0</v>
      </c>
      <c r="M27" s="118">
        <f>4719.038+62491.64</f>
        <v>67210.678</v>
      </c>
      <c r="N27" s="118">
        <f>1658.755+39523.428</f>
        <v>41182.183</v>
      </c>
      <c r="O27" s="118">
        <v>355.236</v>
      </c>
      <c r="P27" s="118">
        <v>9489.165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264" customFormat="1" ht="28.5" customHeight="1">
      <c r="A28" s="274" t="s">
        <v>486</v>
      </c>
      <c r="B28" s="275" t="s">
        <v>489</v>
      </c>
      <c r="C28" s="67">
        <f>SUM(D28:P28)+SUM('6-3鄉決出續'!C28:O28)</f>
        <v>266366.236</v>
      </c>
      <c r="D28" s="67">
        <f>13007.061+626.85</f>
        <v>13633.911</v>
      </c>
      <c r="E28" s="67">
        <f>16860.343+7588.539</f>
        <v>24448.882</v>
      </c>
      <c r="F28" s="67">
        <f>21405.371+7135.311</f>
        <v>28540.682</v>
      </c>
      <c r="G28" s="67">
        <v>1157.2</v>
      </c>
      <c r="H28" s="67">
        <v>7728.617</v>
      </c>
      <c r="I28" s="67">
        <v>0</v>
      </c>
      <c r="J28" s="240">
        <f>7712.975+3210.297</f>
        <v>10923.272</v>
      </c>
      <c r="K28" s="240">
        <f>28059.961+11632.992</f>
        <v>39692.953</v>
      </c>
      <c r="L28" s="276">
        <v>0</v>
      </c>
      <c r="M28" s="240">
        <f>4929.125+27863.404</f>
        <v>32792.528999999995</v>
      </c>
      <c r="N28" s="240">
        <f>1596.308+61544.109</f>
        <v>63140.416999999994</v>
      </c>
      <c r="O28" s="240">
        <f>336.028+6652.95</f>
        <v>6988.978</v>
      </c>
      <c r="P28" s="240">
        <v>11629.059</v>
      </c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</row>
    <row r="29" spans="1:39" s="264" customFormat="1" ht="28.5" customHeight="1">
      <c r="A29" s="274" t="s">
        <v>497</v>
      </c>
      <c r="B29" s="275" t="s">
        <v>498</v>
      </c>
      <c r="C29" s="67">
        <f>SUM(D29:P29)+SUM('6-3鄉決出續'!C29:O29)</f>
        <v>290721.359</v>
      </c>
      <c r="D29" s="67">
        <f>15502.124+3731.983</f>
        <v>19234.107</v>
      </c>
      <c r="E29" s="67">
        <f>17136.907+2306.965</f>
        <v>19443.872</v>
      </c>
      <c r="F29" s="67">
        <f>20221.947+26862.69</f>
        <v>47084.637</v>
      </c>
      <c r="G29" s="67">
        <v>537.942</v>
      </c>
      <c r="H29" s="67">
        <v>3945.795</v>
      </c>
      <c r="I29" s="67">
        <v>0</v>
      </c>
      <c r="J29" s="240">
        <f>8594.088+121.259</f>
        <v>8715.347</v>
      </c>
      <c r="K29" s="240">
        <f>81963.981+33247.307</f>
        <v>115211.288</v>
      </c>
      <c r="L29" s="276">
        <v>0</v>
      </c>
      <c r="M29" s="240">
        <f>5092.257+14676.085</f>
        <v>19768.341999999997</v>
      </c>
      <c r="N29" s="240">
        <f>8565.869+5515.199</f>
        <v>14081.068</v>
      </c>
      <c r="O29" s="240">
        <v>377.701</v>
      </c>
      <c r="P29" s="240">
        <f>11447.875+4694.2</f>
        <v>16142.075</v>
      </c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</row>
    <row r="30" spans="1:39" s="264" customFormat="1" ht="28.5" customHeight="1">
      <c r="A30" s="274" t="s">
        <v>500</v>
      </c>
      <c r="B30" s="275" t="s">
        <v>502</v>
      </c>
      <c r="C30" s="67">
        <f>SUM(D30:P30)+SUM('6-3鄉決出續'!C30:O30)</f>
        <v>526358.2880000001</v>
      </c>
      <c r="D30" s="67">
        <f>15347.125+924.623</f>
        <v>16271.748</v>
      </c>
      <c r="E30" s="67">
        <f>17878.692+1658.929</f>
        <v>19537.621</v>
      </c>
      <c r="F30" s="67">
        <f>24786.598+22289.541</f>
        <v>47076.139</v>
      </c>
      <c r="G30" s="67">
        <v>493.493</v>
      </c>
      <c r="H30" s="67">
        <v>3475.153</v>
      </c>
      <c r="I30" s="67">
        <v>0</v>
      </c>
      <c r="J30" s="240">
        <f>6633.648+20</f>
        <v>6653.648</v>
      </c>
      <c r="K30" s="240">
        <f>50444.047+2000</f>
        <v>52444.047</v>
      </c>
      <c r="L30" s="276">
        <v>0</v>
      </c>
      <c r="M30" s="240">
        <f>5184.634+251592.89</f>
        <v>256777.524</v>
      </c>
      <c r="N30" s="240">
        <f>12486.015+70897.806</f>
        <v>83383.821</v>
      </c>
      <c r="O30" s="240">
        <v>378.047</v>
      </c>
      <c r="P30" s="240">
        <f>5706.207+379.868</f>
        <v>6086.075000000001</v>
      </c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</row>
    <row r="31" spans="1:39" s="264" customFormat="1" ht="28.5" customHeight="1">
      <c r="A31" s="274" t="s">
        <v>507</v>
      </c>
      <c r="B31" s="275" t="s">
        <v>505</v>
      </c>
      <c r="C31" s="67">
        <f>SUM(D31:P31)+SUM('6-3鄉決出續'!C31:O31)</f>
        <v>262329.407</v>
      </c>
      <c r="D31" s="67">
        <f>15440.774+174.018</f>
        <v>15614.792</v>
      </c>
      <c r="E31" s="67">
        <f>19375.826+2679.154</f>
        <v>22054.98</v>
      </c>
      <c r="F31" s="67">
        <f>21543.28+16932.45</f>
        <v>38475.729999999996</v>
      </c>
      <c r="G31" s="67">
        <v>446.963</v>
      </c>
      <c r="H31" s="67">
        <v>3472.515</v>
      </c>
      <c r="I31" s="67">
        <v>0</v>
      </c>
      <c r="J31" s="240">
        <f>6394.33+58.228</f>
        <v>6452.558</v>
      </c>
      <c r="K31" s="240">
        <f>60638.186+3478.324</f>
        <v>64116.51</v>
      </c>
      <c r="L31" s="276">
        <v>0</v>
      </c>
      <c r="M31" s="240">
        <f>6298.387+48094.364</f>
        <v>54392.751000000004</v>
      </c>
      <c r="N31" s="240">
        <f>10480.431+12720.854</f>
        <v>23201.285</v>
      </c>
      <c r="O31" s="240">
        <v>385.275</v>
      </c>
      <c r="P31" s="240">
        <f>6931.515+1700</f>
        <v>8631.515</v>
      </c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</row>
    <row r="32" spans="1:39" s="264" customFormat="1" ht="28.5" customHeight="1">
      <c r="A32" s="274" t="s">
        <v>543</v>
      </c>
      <c r="B32" s="275" t="s">
        <v>544</v>
      </c>
      <c r="C32" s="67">
        <f>SUM(D32:P32)+SUM('6-3鄉決出續'!C32:O32)</f>
        <v>353891.542</v>
      </c>
      <c r="D32" s="67">
        <f>16205.601+1397.459</f>
        <v>17603.06</v>
      </c>
      <c r="E32" s="67">
        <f>20475.871+1897.2</f>
        <v>22373.071</v>
      </c>
      <c r="F32" s="67">
        <f>22236.645+22530.652</f>
        <v>44767.297</v>
      </c>
      <c r="G32" s="67">
        <v>475.622</v>
      </c>
      <c r="H32" s="67">
        <f>3532.435</f>
        <v>3532.435</v>
      </c>
      <c r="I32" s="67">
        <v>0</v>
      </c>
      <c r="J32" s="240">
        <f>10034.958+15541.712</f>
        <v>25576.67</v>
      </c>
      <c r="K32" s="240">
        <f>64891.358+4600</f>
        <v>69491.35800000001</v>
      </c>
      <c r="L32" s="276">
        <v>0</v>
      </c>
      <c r="M32" s="240">
        <f>6386.069+88307.269</f>
        <v>94693.338</v>
      </c>
      <c r="N32" s="240">
        <f>13076.77+3931.048</f>
        <v>17007.818</v>
      </c>
      <c r="O32" s="240">
        <v>393.842</v>
      </c>
      <c r="P32" s="240">
        <f>13763.135+250</f>
        <v>14013.135</v>
      </c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</row>
    <row r="33" spans="1:28" s="27" customFormat="1" ht="28.5" customHeight="1" thickBot="1">
      <c r="A33" s="53" t="s">
        <v>10</v>
      </c>
      <c r="B33" s="60"/>
      <c r="C33" s="68" t="s">
        <v>10</v>
      </c>
      <c r="D33" s="68" t="s">
        <v>10</v>
      </c>
      <c r="E33" s="68" t="s">
        <v>10</v>
      </c>
      <c r="F33" s="68" t="s">
        <v>10</v>
      </c>
      <c r="G33" s="68" t="s">
        <v>10</v>
      </c>
      <c r="H33" s="68" t="s">
        <v>10</v>
      </c>
      <c r="I33" s="68" t="s">
        <v>10</v>
      </c>
      <c r="J33" s="68" t="s">
        <v>10</v>
      </c>
      <c r="K33" s="68" t="s">
        <v>10</v>
      </c>
      <c r="L33" s="68" t="s">
        <v>10</v>
      </c>
      <c r="M33" s="68"/>
      <c r="N33" s="68"/>
      <c r="O33" s="68" t="s">
        <v>10</v>
      </c>
      <c r="P33" s="68" t="s">
        <v>10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s="27" customFormat="1" ht="16.5">
      <c r="A34" s="99" t="s">
        <v>435</v>
      </c>
      <c r="B34" s="99"/>
      <c r="C34" s="95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9"/>
      <c r="Q34" s="109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17" ht="16.5">
      <c r="A35" s="38"/>
      <c r="B35" s="38"/>
      <c r="C35" s="109"/>
      <c r="D35" s="95"/>
      <c r="E35" s="95"/>
      <c r="F35" s="95"/>
      <c r="G35" s="95"/>
      <c r="H35" s="109"/>
      <c r="I35" s="109"/>
      <c r="J35" s="109"/>
      <c r="K35" s="109"/>
      <c r="L35" s="110"/>
      <c r="M35" s="109"/>
      <c r="N35" s="109"/>
      <c r="O35" s="109"/>
      <c r="P35" s="109"/>
      <c r="Q35" s="109"/>
    </row>
    <row r="36" spans="1:17" ht="16.5">
      <c r="A36" s="38"/>
      <c r="B36" s="38"/>
      <c r="C36" s="109"/>
      <c r="D36" s="95"/>
      <c r="E36" s="95"/>
      <c r="F36" s="95"/>
      <c r="G36" s="95"/>
      <c r="H36" s="109"/>
      <c r="I36" s="109"/>
      <c r="J36" s="109"/>
      <c r="K36" s="109"/>
      <c r="L36" s="110"/>
      <c r="M36" s="109"/>
      <c r="N36" s="109"/>
      <c r="O36" s="109"/>
      <c r="P36" s="109"/>
      <c r="Q36" s="109"/>
    </row>
    <row r="37" spans="1:17" ht="16.5">
      <c r="A37" s="38"/>
      <c r="B37" s="38"/>
      <c r="C37" s="109"/>
      <c r="D37" s="95"/>
      <c r="E37" s="95"/>
      <c r="F37" s="95"/>
      <c r="G37" s="95"/>
      <c r="H37" s="109"/>
      <c r="I37" s="109"/>
      <c r="J37" s="109"/>
      <c r="K37" s="109"/>
      <c r="L37" s="110"/>
      <c r="M37" s="109"/>
      <c r="N37" s="109"/>
      <c r="O37" s="109"/>
      <c r="P37" s="109"/>
      <c r="Q37" s="109"/>
    </row>
    <row r="38" spans="1:17" ht="16.5">
      <c r="A38" s="38"/>
      <c r="B38" s="38"/>
      <c r="C38" s="109"/>
      <c r="D38" s="95"/>
      <c r="E38" s="95"/>
      <c r="F38" s="95"/>
      <c r="G38" s="95"/>
      <c r="H38" s="109"/>
      <c r="I38" s="109"/>
      <c r="J38" s="109"/>
      <c r="K38" s="109"/>
      <c r="L38" s="110"/>
      <c r="M38" s="109"/>
      <c r="N38" s="109"/>
      <c r="O38" s="109"/>
      <c r="P38" s="109"/>
      <c r="Q38" s="109"/>
    </row>
    <row r="39" spans="1:16" ht="16.5">
      <c r="A39" s="101"/>
      <c r="B39" s="101"/>
      <c r="C39" s="102"/>
      <c r="D39" s="102"/>
      <c r="E39" s="102"/>
      <c r="F39" s="102"/>
      <c r="G39" s="102"/>
      <c r="H39" s="101"/>
      <c r="I39" s="102"/>
      <c r="J39" s="102"/>
      <c r="K39" s="102"/>
      <c r="L39" s="102"/>
      <c r="M39" s="102"/>
      <c r="N39" s="102"/>
      <c r="O39" s="102"/>
      <c r="P39" s="101"/>
    </row>
    <row r="40" spans="3:15" ht="16.5">
      <c r="C40" s="102"/>
      <c r="D40" s="102"/>
      <c r="E40" s="102"/>
      <c r="F40" s="102"/>
      <c r="G40" s="102"/>
      <c r="I40" s="102"/>
      <c r="J40" s="102"/>
      <c r="K40" s="102"/>
      <c r="L40" s="102"/>
      <c r="M40" s="102"/>
      <c r="N40" s="102"/>
      <c r="O40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0"/>
  <sheetViews>
    <sheetView zoomScale="120" zoomScaleNormal="120" zoomScalePageLayoutView="0" workbookViewId="0" topLeftCell="A1">
      <pane ySplit="6" topLeftCell="A31" activePane="bottomLeft" state="frozen"/>
      <selection pane="topLeft" activeCell="E1" sqref="E1"/>
      <selection pane="bottomLeft" activeCell="I42" sqref="I42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6.5">
      <c r="A1" s="3" t="s">
        <v>473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468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471</v>
      </c>
      <c r="B2" s="112"/>
      <c r="C2" s="112"/>
      <c r="D2" s="112"/>
      <c r="E2" s="112"/>
      <c r="F2" s="112"/>
      <c r="G2" s="112"/>
      <c r="H2" s="112"/>
      <c r="I2" s="202" t="s">
        <v>472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5" t="s">
        <v>211</v>
      </c>
      <c r="B3" s="205"/>
      <c r="C3" s="205"/>
      <c r="D3" s="205"/>
      <c r="E3" s="205"/>
      <c r="F3" s="205"/>
      <c r="G3" s="205"/>
      <c r="H3" s="205"/>
      <c r="I3" s="205" t="s">
        <v>267</v>
      </c>
      <c r="J3" s="205"/>
      <c r="K3" s="205"/>
      <c r="L3" s="205"/>
      <c r="M3" s="205"/>
      <c r="N3" s="205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2" t="s">
        <v>185</v>
      </c>
      <c r="B4" s="122"/>
      <c r="C4" s="122"/>
      <c r="D4" s="122"/>
      <c r="E4" s="122"/>
      <c r="F4" s="122"/>
      <c r="G4" s="122"/>
      <c r="H4" s="107"/>
      <c r="I4" s="107"/>
      <c r="J4" s="122"/>
      <c r="K4" s="122"/>
      <c r="L4" s="122"/>
      <c r="M4" s="122"/>
      <c r="N4" s="122"/>
      <c r="O4" s="144" t="s">
        <v>269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3" t="s">
        <v>1</v>
      </c>
      <c r="B5" s="203"/>
      <c r="C5" s="204" t="s">
        <v>58</v>
      </c>
      <c r="D5" s="170" t="s">
        <v>59</v>
      </c>
      <c r="E5" s="170" t="s">
        <v>60</v>
      </c>
      <c r="F5" s="170" t="s">
        <v>61</v>
      </c>
      <c r="G5" s="170" t="s">
        <v>62</v>
      </c>
      <c r="H5" s="150" t="s">
        <v>63</v>
      </c>
      <c r="I5" s="58" t="s">
        <v>64</v>
      </c>
      <c r="J5" s="58" t="s">
        <v>280</v>
      </c>
      <c r="K5" s="170" t="s">
        <v>7</v>
      </c>
      <c r="L5" s="170" t="s">
        <v>281</v>
      </c>
      <c r="M5" s="170" t="s">
        <v>65</v>
      </c>
      <c r="N5" s="170" t="s">
        <v>8</v>
      </c>
      <c r="O5" s="169" t="s">
        <v>66</v>
      </c>
    </row>
    <row r="6" spans="1:15" ht="53.25" customHeight="1" thickBot="1">
      <c r="A6" s="206" t="s">
        <v>204</v>
      </c>
      <c r="B6" s="123"/>
      <c r="C6" s="197" t="s">
        <v>251</v>
      </c>
      <c r="D6" s="154" t="s">
        <v>253</v>
      </c>
      <c r="E6" s="154" t="s">
        <v>144</v>
      </c>
      <c r="F6" s="154" t="s">
        <v>254</v>
      </c>
      <c r="G6" s="154" t="s">
        <v>255</v>
      </c>
      <c r="H6" s="154" t="s">
        <v>256</v>
      </c>
      <c r="I6" s="152" t="s">
        <v>257</v>
      </c>
      <c r="J6" s="152" t="s">
        <v>258</v>
      </c>
      <c r="K6" s="154" t="s">
        <v>259</v>
      </c>
      <c r="L6" s="154" t="s">
        <v>282</v>
      </c>
      <c r="M6" s="154" t="s">
        <v>261</v>
      </c>
      <c r="N6" s="154" t="s">
        <v>283</v>
      </c>
      <c r="O6" s="164" t="s">
        <v>284</v>
      </c>
    </row>
    <row r="7" spans="1:27" s="73" customFormat="1" ht="30" customHeight="1" hidden="1">
      <c r="A7" s="76" t="s">
        <v>402</v>
      </c>
      <c r="B7" s="208" t="s">
        <v>306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28.5" customHeight="1" hidden="1">
      <c r="A8" s="76" t="s">
        <v>358</v>
      </c>
      <c r="B8" s="208" t="s">
        <v>359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28.5" customHeight="1" hidden="1">
      <c r="A9" s="137" t="s">
        <v>360</v>
      </c>
      <c r="B9" s="199" t="s">
        <v>361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28.5" customHeight="1" hidden="1">
      <c r="A10" s="137"/>
      <c r="B10" s="199"/>
      <c r="C10" s="66"/>
      <c r="D10" s="1"/>
      <c r="E10" s="1"/>
      <c r="F10" s="120"/>
      <c r="G10" s="118"/>
      <c r="H10" s="119"/>
      <c r="I10" s="66"/>
      <c r="J10" s="66"/>
      <c r="K10" s="66"/>
      <c r="L10" s="66"/>
      <c r="M10" s="66"/>
      <c r="N10" s="66"/>
      <c r="O10" s="118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8.5" customHeight="1" hidden="1">
      <c r="A11" s="76" t="s">
        <v>362</v>
      </c>
      <c r="B11" s="208" t="s">
        <v>363</v>
      </c>
      <c r="C11" s="66">
        <v>3842</v>
      </c>
      <c r="D11" s="1">
        <v>0</v>
      </c>
      <c r="E11" s="1">
        <v>0</v>
      </c>
      <c r="F11" s="119">
        <v>1</v>
      </c>
      <c r="G11" s="119">
        <v>2427</v>
      </c>
      <c r="H11" s="119">
        <v>5534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19">
        <v>40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 hidden="1">
      <c r="A12" s="76" t="s">
        <v>364</v>
      </c>
      <c r="B12" s="208" t="s">
        <v>365</v>
      </c>
      <c r="C12" s="66">
        <v>4295</v>
      </c>
      <c r="D12" s="1">
        <v>0</v>
      </c>
      <c r="E12" s="66">
        <v>0</v>
      </c>
      <c r="F12" s="118">
        <v>32</v>
      </c>
      <c r="G12" s="118">
        <v>26436</v>
      </c>
      <c r="H12" s="119">
        <v>6446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20">
        <v>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7" t="s">
        <v>366</v>
      </c>
      <c r="B13" s="199" t="s">
        <v>367</v>
      </c>
      <c r="C13" s="66">
        <v>4347</v>
      </c>
      <c r="D13" s="66">
        <v>0</v>
      </c>
      <c r="E13" s="66">
        <v>0</v>
      </c>
      <c r="F13" s="118">
        <v>165</v>
      </c>
      <c r="G13" s="118">
        <v>3322</v>
      </c>
      <c r="H13" s="119">
        <v>4231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2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7" t="s">
        <v>368</v>
      </c>
      <c r="B14" s="199" t="s">
        <v>369</v>
      </c>
      <c r="C14" s="66">
        <v>4979</v>
      </c>
      <c r="D14" s="66">
        <v>0</v>
      </c>
      <c r="E14" s="66">
        <v>0</v>
      </c>
      <c r="F14" s="118">
        <v>389</v>
      </c>
      <c r="G14" s="118">
        <v>6241</v>
      </c>
      <c r="H14" s="119">
        <v>5968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1088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7" t="s">
        <v>370</v>
      </c>
      <c r="B15" s="199" t="s">
        <v>290</v>
      </c>
      <c r="C15" s="66">
        <v>4420</v>
      </c>
      <c r="D15" s="66">
        <v>0</v>
      </c>
      <c r="E15" s="66">
        <v>0</v>
      </c>
      <c r="F15" s="118">
        <v>865</v>
      </c>
      <c r="G15" s="118">
        <v>11722</v>
      </c>
      <c r="H15" s="119">
        <v>6594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61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7" t="s">
        <v>376</v>
      </c>
      <c r="B16" s="199" t="s">
        <v>375</v>
      </c>
      <c r="C16" s="66">
        <v>5502</v>
      </c>
      <c r="D16" s="66">
        <v>0</v>
      </c>
      <c r="E16" s="66">
        <v>0</v>
      </c>
      <c r="F16" s="118">
        <v>3710</v>
      </c>
      <c r="G16" s="118">
        <v>5147</v>
      </c>
      <c r="H16" s="119">
        <v>7524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87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7" t="s">
        <v>382</v>
      </c>
      <c r="B17" s="199" t="s">
        <v>381</v>
      </c>
      <c r="C17" s="66">
        <v>4351</v>
      </c>
      <c r="D17" s="66">
        <v>0</v>
      </c>
      <c r="E17" s="66">
        <v>0</v>
      </c>
      <c r="F17" s="118">
        <v>476</v>
      </c>
      <c r="G17" s="118">
        <v>6414</v>
      </c>
      <c r="H17" s="119">
        <v>4494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1168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7" t="s">
        <v>383</v>
      </c>
      <c r="B18" s="199" t="s">
        <v>384</v>
      </c>
      <c r="C18" s="66">
        <v>4235</v>
      </c>
      <c r="D18" s="66">
        <v>0</v>
      </c>
      <c r="E18" s="66">
        <v>0</v>
      </c>
      <c r="F18" s="118">
        <v>548</v>
      </c>
      <c r="G18" s="118">
        <v>7376</v>
      </c>
      <c r="H18" s="119">
        <v>5596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140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7" t="s">
        <v>388</v>
      </c>
      <c r="B19" s="199" t="s">
        <v>389</v>
      </c>
      <c r="C19" s="66">
        <v>4324.432</v>
      </c>
      <c r="D19" s="66">
        <v>0</v>
      </c>
      <c r="E19" s="66">
        <v>0</v>
      </c>
      <c r="F19" s="118">
        <v>888.163</v>
      </c>
      <c r="G19" s="118">
        <v>6268.823</v>
      </c>
      <c r="H19" s="119">
        <v>4234.898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890.981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7" t="s">
        <v>395</v>
      </c>
      <c r="B20" s="199" t="s">
        <v>396</v>
      </c>
      <c r="C20" s="66">
        <f>4594.948+162.494</f>
        <v>4757.442</v>
      </c>
      <c r="D20" s="66">
        <v>0</v>
      </c>
      <c r="E20" s="66">
        <v>0</v>
      </c>
      <c r="F20" s="118">
        <v>1667.888</v>
      </c>
      <c r="G20" s="118">
        <f>6734.445+3935.149</f>
        <v>10669.594</v>
      </c>
      <c r="H20" s="119">
        <v>5288.325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1840.916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7" t="s">
        <v>397</v>
      </c>
      <c r="B21" s="199" t="s">
        <v>398</v>
      </c>
      <c r="C21" s="66">
        <v>4544.151</v>
      </c>
      <c r="D21" s="66">
        <v>0</v>
      </c>
      <c r="E21" s="66">
        <v>0</v>
      </c>
      <c r="F21" s="118">
        <v>1193.262</v>
      </c>
      <c r="G21" s="118">
        <f>6499.792+1061.028</f>
        <v>7560.820000000001</v>
      </c>
      <c r="H21" s="119">
        <v>7025.463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2230.39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7" t="s">
        <v>411</v>
      </c>
      <c r="B22" s="199" t="s">
        <v>412</v>
      </c>
      <c r="C22" s="66">
        <v>4384.028</v>
      </c>
      <c r="D22" s="66">
        <v>0</v>
      </c>
      <c r="E22" s="66">
        <v>0</v>
      </c>
      <c r="F22" s="118">
        <v>1699.175</v>
      </c>
      <c r="G22" s="118">
        <v>7085.4</v>
      </c>
      <c r="H22" s="119">
        <v>6018.326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v>1697.044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7" t="s">
        <v>417</v>
      </c>
      <c r="B23" s="199" t="s">
        <v>419</v>
      </c>
      <c r="C23" s="66">
        <v>4259.19</v>
      </c>
      <c r="D23" s="66">
        <v>0</v>
      </c>
      <c r="E23" s="66">
        <v>0</v>
      </c>
      <c r="F23" s="118">
        <v>1114.736</v>
      </c>
      <c r="G23" s="118">
        <v>7058.679</v>
      </c>
      <c r="H23" s="119">
        <v>6086.966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1006.59+1500</f>
        <v>2506.59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7" t="s">
        <v>439</v>
      </c>
      <c r="B24" s="199" t="s">
        <v>440</v>
      </c>
      <c r="C24" s="66">
        <v>4718.251</v>
      </c>
      <c r="D24" s="66">
        <v>0</v>
      </c>
      <c r="E24" s="66">
        <v>0</v>
      </c>
      <c r="F24" s="118">
        <v>1241.305</v>
      </c>
      <c r="G24" s="118">
        <f>7238.443+44.648</f>
        <v>7283.091</v>
      </c>
      <c r="H24" s="119">
        <v>6172.731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840.484+1490</f>
        <v>2330.484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8.5" customHeight="1">
      <c r="A25" s="137" t="s">
        <v>445</v>
      </c>
      <c r="B25" s="199" t="s">
        <v>446</v>
      </c>
      <c r="C25" s="66">
        <v>605.158</v>
      </c>
      <c r="D25" s="66">
        <v>0</v>
      </c>
      <c r="E25" s="66">
        <v>0</v>
      </c>
      <c r="F25" s="118">
        <v>1192.9</v>
      </c>
      <c r="G25" s="118">
        <f>8441.051+3748.881</f>
        <v>12189.931999999999</v>
      </c>
      <c r="H25" s="119">
        <v>6740.849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736.45+1430</f>
        <v>2166.45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7" t="s">
        <v>478</v>
      </c>
      <c r="B26" s="199" t="s">
        <v>475</v>
      </c>
      <c r="C26" s="66">
        <v>561.131</v>
      </c>
      <c r="D26" s="66">
        <v>0</v>
      </c>
      <c r="E26" s="66">
        <v>0</v>
      </c>
      <c r="F26" s="118">
        <v>1915.77</v>
      </c>
      <c r="G26" s="118">
        <f>10701.599+3989.419</f>
        <v>14691.018</v>
      </c>
      <c r="H26" s="119">
        <v>6922.878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18">
        <f>349.1+1620</f>
        <v>1969.1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8.5" customHeight="1">
      <c r="A27" s="137" t="s">
        <v>480</v>
      </c>
      <c r="B27" s="199" t="s">
        <v>483</v>
      </c>
      <c r="C27" s="66">
        <f>775.497+1243.728</f>
        <v>2019.225</v>
      </c>
      <c r="D27" s="66">
        <v>0</v>
      </c>
      <c r="E27" s="66">
        <v>0</v>
      </c>
      <c r="F27" s="118">
        <v>2581.68</v>
      </c>
      <c r="G27" s="118">
        <v>11077.175</v>
      </c>
      <c r="H27" s="119">
        <v>7040.566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18">
        <f>336.62+2136.659</f>
        <v>2473.279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73" customFormat="1" ht="28.5" customHeight="1">
      <c r="A28" s="137" t="s">
        <v>486</v>
      </c>
      <c r="B28" s="199" t="s">
        <v>489</v>
      </c>
      <c r="C28" s="66">
        <v>1978.116</v>
      </c>
      <c r="D28" s="66">
        <v>0</v>
      </c>
      <c r="E28" s="66">
        <v>0</v>
      </c>
      <c r="F28" s="118">
        <v>1657.145</v>
      </c>
      <c r="G28" s="118">
        <f>11281.444+600</f>
        <v>11881.444</v>
      </c>
      <c r="H28" s="119">
        <v>7182.713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118">
        <f>790.318+2200</f>
        <v>2990.318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s="73" customFormat="1" ht="28.5" customHeight="1">
      <c r="A29" s="137" t="s">
        <v>497</v>
      </c>
      <c r="B29" s="199" t="s">
        <v>498</v>
      </c>
      <c r="C29" s="66">
        <v>1948.74</v>
      </c>
      <c r="D29" s="66">
        <v>0</v>
      </c>
      <c r="E29" s="66">
        <v>0</v>
      </c>
      <c r="F29" s="118">
        <v>1607.149</v>
      </c>
      <c r="G29" s="118">
        <f>11535.845+869.59</f>
        <v>12405.435</v>
      </c>
      <c r="H29" s="119">
        <v>7173.596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118">
        <f>944.265+2100</f>
        <v>3044.265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27" s="73" customFormat="1" ht="28.5" customHeight="1">
      <c r="A30" s="137" t="s">
        <v>500</v>
      </c>
      <c r="B30" s="199" t="s">
        <v>502</v>
      </c>
      <c r="C30" s="66">
        <v>1571.868</v>
      </c>
      <c r="D30" s="66">
        <v>0</v>
      </c>
      <c r="E30" s="66">
        <v>0</v>
      </c>
      <c r="F30" s="118">
        <v>1923.946</v>
      </c>
      <c r="G30" s="118">
        <f>12260.21+8371.129</f>
        <v>20631.339</v>
      </c>
      <c r="H30" s="119">
        <v>7363.819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118">
        <f>540+1750</f>
        <v>2290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s="73" customFormat="1" ht="28.5" customHeight="1">
      <c r="A31" s="137" t="s">
        <v>507</v>
      </c>
      <c r="B31" s="199" t="s">
        <v>505</v>
      </c>
      <c r="C31" s="66">
        <v>1333.397</v>
      </c>
      <c r="D31" s="66">
        <v>0</v>
      </c>
      <c r="E31" s="66">
        <v>0</v>
      </c>
      <c r="F31" s="118">
        <v>2075.526</v>
      </c>
      <c r="G31" s="118">
        <f>11765.617+741.286</f>
        <v>12506.903</v>
      </c>
      <c r="H31" s="119">
        <v>7222.717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118">
        <f>145.99+1800</f>
        <v>1945.99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27" s="73" customFormat="1" ht="28.5" customHeight="1">
      <c r="A32" s="137" t="s">
        <v>543</v>
      </c>
      <c r="B32" s="199" t="s">
        <v>544</v>
      </c>
      <c r="C32" s="66">
        <f>1357.822+15000</f>
        <v>16357.822</v>
      </c>
      <c r="D32" s="66">
        <v>0</v>
      </c>
      <c r="E32" s="66">
        <v>0</v>
      </c>
      <c r="F32" s="118">
        <f>2465.994</f>
        <v>2465.994</v>
      </c>
      <c r="G32" s="118">
        <f>12732.194+2665.194</f>
        <v>15397.387999999999</v>
      </c>
      <c r="H32" s="119">
        <v>6985.632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118">
        <f>557.06+2200</f>
        <v>2757.06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s="73" customFormat="1" ht="28.5" customHeight="1" thickBot="1">
      <c r="A33" s="53" t="s">
        <v>10</v>
      </c>
      <c r="B33" s="60"/>
      <c r="C33" s="68" t="s">
        <v>10</v>
      </c>
      <c r="D33" s="68" t="s">
        <v>10</v>
      </c>
      <c r="E33" s="68" t="s">
        <v>10</v>
      </c>
      <c r="F33" s="124" t="s">
        <v>10</v>
      </c>
      <c r="G33" s="124" t="s">
        <v>10</v>
      </c>
      <c r="H33" s="124"/>
      <c r="I33" s="68" t="s">
        <v>10</v>
      </c>
      <c r="J33" s="68"/>
      <c r="K33" s="68" t="s">
        <v>10</v>
      </c>
      <c r="L33" s="68" t="s">
        <v>10</v>
      </c>
      <c r="M33" s="68" t="s">
        <v>10</v>
      </c>
      <c r="N33" s="68" t="s">
        <v>10</v>
      </c>
      <c r="O33" s="124" t="s">
        <v>10</v>
      </c>
      <c r="P33" s="72" t="s">
        <v>10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15" ht="17.25" customHeight="1">
      <c r="A34" s="38" t="s">
        <v>279</v>
      </c>
      <c r="B34" s="108"/>
      <c r="C34" s="95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110"/>
    </row>
    <row r="35" spans="1:15" ht="17.25" customHeight="1">
      <c r="A35" s="38" t="s">
        <v>278</v>
      </c>
      <c r="B35" s="108"/>
      <c r="C35" s="95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10"/>
    </row>
    <row r="36" spans="1:15" ht="16.5">
      <c r="A36" s="38"/>
      <c r="B36" s="38"/>
      <c r="C36" s="95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10"/>
    </row>
    <row r="37" spans="1:15" ht="16.5">
      <c r="A37" s="38"/>
      <c r="B37" s="38"/>
      <c r="C37" s="109"/>
      <c r="D37" s="95"/>
      <c r="E37" s="95"/>
      <c r="F37" s="95"/>
      <c r="G37" s="95"/>
      <c r="H37" s="95"/>
      <c r="I37" s="109"/>
      <c r="J37" s="109"/>
      <c r="K37" s="110"/>
      <c r="L37" s="109"/>
      <c r="M37" s="109"/>
      <c r="N37" s="109"/>
      <c r="O37" s="109"/>
    </row>
    <row r="38" spans="3:15" ht="16.5">
      <c r="C38" s="109"/>
      <c r="D38" s="95"/>
      <c r="E38" s="95"/>
      <c r="F38" s="95"/>
      <c r="G38" s="95"/>
      <c r="H38" s="95"/>
      <c r="I38" s="109"/>
      <c r="J38" s="109"/>
      <c r="K38" s="110"/>
      <c r="L38" s="109"/>
      <c r="M38" s="109"/>
      <c r="N38" s="109"/>
      <c r="O38" s="109"/>
    </row>
    <row r="39" spans="1:15" ht="16.5">
      <c r="A39" s="101"/>
      <c r="B39" s="101"/>
      <c r="C39" s="102"/>
      <c r="D39" s="102"/>
      <c r="E39" s="102"/>
      <c r="F39" s="102"/>
      <c r="G39" s="102"/>
      <c r="H39" s="102"/>
      <c r="I39" s="101"/>
      <c r="J39" s="102"/>
      <c r="K39" s="102"/>
      <c r="L39" s="102"/>
      <c r="M39" s="102"/>
      <c r="N39" s="102"/>
      <c r="O39" s="102"/>
    </row>
    <row r="40" spans="3:15" ht="16.5">
      <c r="C40" s="102"/>
      <c r="D40" s="102"/>
      <c r="E40" s="102"/>
      <c r="F40" s="102"/>
      <c r="G40" s="102"/>
      <c r="I40" s="101"/>
      <c r="J40" s="102"/>
      <c r="K40" s="102"/>
      <c r="L40" s="102"/>
      <c r="M40" s="102"/>
      <c r="N40" s="102"/>
      <c r="O40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7"/>
  <sheetViews>
    <sheetView zoomScale="130" zoomScaleNormal="130" zoomScalePageLayoutView="0" workbookViewId="0" topLeftCell="A3">
      <selection activeCell="F22" sqref="F22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422</v>
      </c>
      <c r="B1" s="125"/>
      <c r="H1" s="322"/>
      <c r="I1" s="322"/>
      <c r="N1" s="41"/>
      <c r="P1" s="322"/>
      <c r="Q1" s="322"/>
      <c r="U1" s="322" t="s">
        <v>423</v>
      </c>
      <c r="V1" s="322"/>
      <c r="W1" s="3" t="s">
        <v>424</v>
      </c>
      <c r="X1" s="125"/>
      <c r="AK1" s="322" t="s">
        <v>425</v>
      </c>
      <c r="AL1" s="322"/>
    </row>
    <row r="2" spans="1:38" s="43" customFormat="1" ht="23.25" customHeight="1">
      <c r="A2" s="42"/>
      <c r="B2" s="145" t="s">
        <v>470</v>
      </c>
      <c r="C2" s="81"/>
      <c r="D2" s="81"/>
      <c r="E2" s="81"/>
      <c r="F2" s="81"/>
      <c r="G2" s="145"/>
      <c r="H2" s="81"/>
      <c r="I2" s="81"/>
      <c r="J2" s="146"/>
      <c r="K2" s="147"/>
      <c r="L2" s="44"/>
      <c r="M2" s="40"/>
      <c r="N2" s="167" t="s">
        <v>173</v>
      </c>
      <c r="O2" s="147"/>
      <c r="P2" s="146"/>
      <c r="Q2" s="146"/>
      <c r="R2" s="56"/>
      <c r="S2" s="56"/>
      <c r="T2" s="45"/>
      <c r="U2" s="45"/>
      <c r="V2" s="45"/>
      <c r="W2" s="42"/>
      <c r="X2" s="145" t="s">
        <v>469</v>
      </c>
      <c r="Y2" s="81"/>
      <c r="Z2" s="145"/>
      <c r="AA2" s="81"/>
      <c r="AB2" s="81"/>
      <c r="AC2" s="81"/>
      <c r="AD2" s="146"/>
      <c r="AG2" s="145" t="s">
        <v>174</v>
      </c>
      <c r="AH2" s="81"/>
      <c r="AI2" s="81"/>
      <c r="AJ2" s="81"/>
      <c r="AK2" s="81"/>
      <c r="AL2" s="146"/>
    </row>
    <row r="3" spans="1:38" s="47" customFormat="1" ht="19.5" customHeight="1">
      <c r="A3" s="46"/>
      <c r="B3" s="86" t="s">
        <v>107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8" t="s">
        <v>171</v>
      </c>
      <c r="O3" s="86"/>
      <c r="P3" s="166"/>
      <c r="Q3" s="166"/>
      <c r="R3" s="51"/>
      <c r="S3" s="51"/>
      <c r="T3" s="51"/>
      <c r="U3" s="51"/>
      <c r="V3" s="51"/>
      <c r="W3" s="46"/>
      <c r="X3" s="86" t="s">
        <v>107</v>
      </c>
      <c r="Y3" s="86"/>
      <c r="Z3" s="86"/>
      <c r="AA3" s="86"/>
      <c r="AB3" s="86"/>
      <c r="AC3" s="86"/>
      <c r="AD3" s="86"/>
      <c r="AG3" s="86" t="s">
        <v>171</v>
      </c>
      <c r="AH3" s="86"/>
      <c r="AI3" s="86"/>
      <c r="AJ3" s="86"/>
      <c r="AK3" s="86"/>
      <c r="AL3" s="49"/>
    </row>
    <row r="4" spans="1:38" s="40" customFormat="1" ht="15.75" customHeight="1" thickBot="1">
      <c r="A4" s="143" t="s">
        <v>110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21"/>
      <c r="Q4" s="321"/>
      <c r="R4" s="54"/>
      <c r="S4" s="54"/>
      <c r="T4" s="54"/>
      <c r="U4" s="54"/>
      <c r="V4" s="144" t="s">
        <v>111</v>
      </c>
      <c r="W4" s="143" t="s">
        <v>110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29" t="s">
        <v>101</v>
      </c>
      <c r="AL4" s="329"/>
    </row>
    <row r="5" spans="1:38" s="40" customFormat="1" ht="18" customHeight="1">
      <c r="A5" s="339" t="s">
        <v>73</v>
      </c>
      <c r="B5" s="340"/>
      <c r="C5" s="330" t="s">
        <v>13</v>
      </c>
      <c r="D5" s="55" t="s">
        <v>109</v>
      </c>
      <c r="E5" s="55"/>
      <c r="F5" s="55"/>
      <c r="G5" s="55"/>
      <c r="H5" s="148"/>
      <c r="I5" s="55"/>
      <c r="J5" s="55"/>
      <c r="K5" s="55"/>
      <c r="L5" s="55"/>
      <c r="M5" s="142" t="s">
        <v>108</v>
      </c>
      <c r="N5" s="55"/>
      <c r="O5" s="55"/>
      <c r="P5" s="55"/>
      <c r="Q5" s="148"/>
      <c r="R5" s="55"/>
      <c r="S5" s="55"/>
      <c r="T5" s="55"/>
      <c r="U5" s="55"/>
      <c r="V5" s="55"/>
      <c r="W5" s="339" t="s">
        <v>73</v>
      </c>
      <c r="X5" s="340"/>
      <c r="Y5" s="55" t="s">
        <v>145</v>
      </c>
      <c r="Z5" s="55"/>
      <c r="AA5" s="148"/>
      <c r="AB5" s="148"/>
      <c r="AC5" s="57"/>
      <c r="AD5" s="55"/>
      <c r="AE5" s="55"/>
      <c r="AF5" s="55" t="s">
        <v>12</v>
      </c>
      <c r="AG5" s="55"/>
      <c r="AH5" s="55"/>
      <c r="AI5" s="165"/>
      <c r="AJ5" s="327" t="s">
        <v>37</v>
      </c>
      <c r="AK5" s="330" t="s">
        <v>38</v>
      </c>
      <c r="AL5" s="323" t="s">
        <v>35</v>
      </c>
    </row>
    <row r="6" spans="1:38" s="40" customFormat="1" ht="18" customHeight="1">
      <c r="A6" s="341"/>
      <c r="B6" s="342"/>
      <c r="C6" s="331"/>
      <c r="D6" s="343" t="s">
        <v>112</v>
      </c>
      <c r="E6" s="325"/>
      <c r="F6" s="325"/>
      <c r="G6" s="325"/>
      <c r="H6" s="326"/>
      <c r="I6" s="343" t="s">
        <v>113</v>
      </c>
      <c r="J6" s="325"/>
      <c r="K6" s="325"/>
      <c r="L6" s="326"/>
      <c r="M6" s="325" t="s">
        <v>116</v>
      </c>
      <c r="N6" s="325"/>
      <c r="O6" s="325"/>
      <c r="P6" s="325"/>
      <c r="Q6" s="326"/>
      <c r="R6" s="325" t="s">
        <v>117</v>
      </c>
      <c r="S6" s="325"/>
      <c r="T6" s="325"/>
      <c r="U6" s="325"/>
      <c r="V6" s="325"/>
      <c r="W6" s="341"/>
      <c r="X6" s="342"/>
      <c r="Y6" s="343" t="s">
        <v>151</v>
      </c>
      <c r="Z6" s="325"/>
      <c r="AA6" s="326"/>
      <c r="AB6" s="353" t="s">
        <v>36</v>
      </c>
      <c r="AC6" s="347" t="s">
        <v>152</v>
      </c>
      <c r="AD6" s="348"/>
      <c r="AE6" s="349"/>
      <c r="AF6" s="345" t="s">
        <v>150</v>
      </c>
      <c r="AG6" s="325" t="s">
        <v>149</v>
      </c>
      <c r="AH6" s="325"/>
      <c r="AI6" s="326"/>
      <c r="AJ6" s="328"/>
      <c r="AK6" s="331"/>
      <c r="AL6" s="324"/>
    </row>
    <row r="7" spans="1:38" s="40" customFormat="1" ht="24" customHeight="1">
      <c r="A7" s="341"/>
      <c r="B7" s="342"/>
      <c r="C7" s="331"/>
      <c r="D7" s="332" t="s">
        <v>119</v>
      </c>
      <c r="E7" s="333"/>
      <c r="F7" s="333"/>
      <c r="G7" s="333"/>
      <c r="H7" s="334"/>
      <c r="I7" s="332" t="s">
        <v>120</v>
      </c>
      <c r="J7" s="333"/>
      <c r="K7" s="333"/>
      <c r="L7" s="334"/>
      <c r="M7" s="344" t="s">
        <v>121</v>
      </c>
      <c r="N7" s="333"/>
      <c r="O7" s="333"/>
      <c r="P7" s="333"/>
      <c r="Q7" s="334"/>
      <c r="R7" s="344" t="s">
        <v>122</v>
      </c>
      <c r="S7" s="333"/>
      <c r="T7" s="333"/>
      <c r="U7" s="333"/>
      <c r="V7" s="333"/>
      <c r="W7" s="341"/>
      <c r="X7" s="342"/>
      <c r="Y7" s="354" t="s">
        <v>157</v>
      </c>
      <c r="Z7" s="355"/>
      <c r="AA7" s="356"/>
      <c r="AB7" s="331"/>
      <c r="AC7" s="350" t="s">
        <v>158</v>
      </c>
      <c r="AD7" s="351"/>
      <c r="AE7" s="352"/>
      <c r="AF7" s="346"/>
      <c r="AG7" s="333"/>
      <c r="AH7" s="333"/>
      <c r="AI7" s="334"/>
      <c r="AJ7" s="328"/>
      <c r="AK7" s="331"/>
      <c r="AL7" s="324"/>
    </row>
    <row r="8" spans="1:38" s="40" customFormat="1" ht="26.25" customHeight="1">
      <c r="A8" s="335" t="s">
        <v>118</v>
      </c>
      <c r="B8" s="336"/>
      <c r="C8" s="331"/>
      <c r="D8" s="149" t="s">
        <v>114</v>
      </c>
      <c r="E8" s="156" t="s">
        <v>490</v>
      </c>
      <c r="F8" s="156" t="s">
        <v>127</v>
      </c>
      <c r="G8" s="156" t="s">
        <v>128</v>
      </c>
      <c r="H8" s="155" t="s">
        <v>129</v>
      </c>
      <c r="I8" s="149" t="s">
        <v>115</v>
      </c>
      <c r="J8" s="156" t="s">
        <v>172</v>
      </c>
      <c r="K8" s="156" t="s">
        <v>130</v>
      </c>
      <c r="L8" s="156" t="s">
        <v>131</v>
      </c>
      <c r="M8" s="139" t="s">
        <v>114</v>
      </c>
      <c r="N8" s="156" t="s">
        <v>377</v>
      </c>
      <c r="O8" s="156" t="s">
        <v>378</v>
      </c>
      <c r="P8" s="156" t="s">
        <v>379</v>
      </c>
      <c r="Q8" s="156" t="s">
        <v>47</v>
      </c>
      <c r="R8" s="149" t="s">
        <v>114</v>
      </c>
      <c r="S8" s="156" t="s">
        <v>29</v>
      </c>
      <c r="T8" s="156" t="s">
        <v>28</v>
      </c>
      <c r="U8" s="156" t="s">
        <v>48</v>
      </c>
      <c r="V8" s="157" t="s">
        <v>49</v>
      </c>
      <c r="W8" s="335" t="s">
        <v>118</v>
      </c>
      <c r="X8" s="336"/>
      <c r="Y8" s="161" t="s">
        <v>153</v>
      </c>
      <c r="Z8" s="162" t="s">
        <v>155</v>
      </c>
      <c r="AA8" s="162" t="s">
        <v>154</v>
      </c>
      <c r="AB8" s="331"/>
      <c r="AC8" s="160" t="s">
        <v>114</v>
      </c>
      <c r="AD8" s="215" t="s">
        <v>50</v>
      </c>
      <c r="AE8" s="203" t="s">
        <v>156</v>
      </c>
      <c r="AF8" s="346"/>
      <c r="AG8" s="59" t="s">
        <v>146</v>
      </c>
      <c r="AH8" s="59" t="s">
        <v>147</v>
      </c>
      <c r="AI8" s="59" t="s">
        <v>148</v>
      </c>
      <c r="AJ8" s="328"/>
      <c r="AK8" s="331"/>
      <c r="AL8" s="324"/>
    </row>
    <row r="9" spans="1:38" s="62" customFormat="1" ht="78" customHeight="1" thickBot="1">
      <c r="A9" s="337"/>
      <c r="B9" s="338"/>
      <c r="C9" s="151" t="s">
        <v>76</v>
      </c>
      <c r="D9" s="152" t="s">
        <v>77</v>
      </c>
      <c r="E9" s="153" t="s">
        <v>123</v>
      </c>
      <c r="F9" s="152" t="s">
        <v>124</v>
      </c>
      <c r="G9" s="152" t="s">
        <v>125</v>
      </c>
      <c r="H9" s="154" t="s">
        <v>126</v>
      </c>
      <c r="I9" s="152" t="s">
        <v>132</v>
      </c>
      <c r="J9" s="152" t="s">
        <v>133</v>
      </c>
      <c r="K9" s="152" t="s">
        <v>134</v>
      </c>
      <c r="L9" s="152" t="s">
        <v>135</v>
      </c>
      <c r="M9" s="152" t="s">
        <v>132</v>
      </c>
      <c r="N9" s="152" t="s">
        <v>136</v>
      </c>
      <c r="O9" s="152" t="s">
        <v>137</v>
      </c>
      <c r="P9" s="152" t="s">
        <v>138</v>
      </c>
      <c r="Q9" s="154" t="s">
        <v>139</v>
      </c>
      <c r="R9" s="152" t="s">
        <v>140</v>
      </c>
      <c r="S9" s="152" t="s">
        <v>141</v>
      </c>
      <c r="T9" s="152" t="s">
        <v>142</v>
      </c>
      <c r="U9" s="152" t="s">
        <v>143</v>
      </c>
      <c r="V9" s="164" t="s">
        <v>144</v>
      </c>
      <c r="W9" s="337"/>
      <c r="X9" s="338"/>
      <c r="Y9" s="152" t="s">
        <v>77</v>
      </c>
      <c r="Z9" s="152" t="s">
        <v>159</v>
      </c>
      <c r="AA9" s="154" t="s">
        <v>160</v>
      </c>
      <c r="AB9" s="152" t="s">
        <v>161</v>
      </c>
      <c r="AC9" s="163" t="s">
        <v>162</v>
      </c>
      <c r="AD9" s="152" t="s">
        <v>163</v>
      </c>
      <c r="AE9" s="152" t="s">
        <v>164</v>
      </c>
      <c r="AF9" s="152" t="s">
        <v>165</v>
      </c>
      <c r="AG9" s="152" t="s">
        <v>166</v>
      </c>
      <c r="AH9" s="61"/>
      <c r="AI9" s="152" t="s">
        <v>167</v>
      </c>
      <c r="AJ9" s="154" t="s">
        <v>168</v>
      </c>
      <c r="AK9" s="154" t="s">
        <v>169</v>
      </c>
      <c r="AL9" s="164" t="s">
        <v>170</v>
      </c>
    </row>
    <row r="10" spans="1:44" ht="19.5" customHeight="1" hidden="1">
      <c r="A10" s="76" t="s">
        <v>291</v>
      </c>
      <c r="B10" s="208" t="s">
        <v>296</v>
      </c>
      <c r="C10" s="140">
        <f aca="true" t="shared" si="0" ref="C10:C16">SUM(D10,I10,M10,R10,Y10,AB10,AC10,AF10,AI10,AJ10,AK10)</f>
        <v>82248</v>
      </c>
      <c r="D10" s="140">
        <f aca="true" t="shared" si="1" ref="D10:D16">SUM(E10:H10)</f>
        <v>46406</v>
      </c>
      <c r="E10" s="140">
        <v>10865</v>
      </c>
      <c r="F10" s="140">
        <v>29834</v>
      </c>
      <c r="G10" s="140">
        <v>5681</v>
      </c>
      <c r="H10" s="140">
        <v>26</v>
      </c>
      <c r="I10" s="140">
        <f aca="true" t="shared" si="2" ref="I10:I16">SUM(J10:L10)</f>
        <v>443</v>
      </c>
      <c r="J10" s="140">
        <v>200</v>
      </c>
      <c r="K10" s="140">
        <v>0</v>
      </c>
      <c r="L10" s="140">
        <v>243</v>
      </c>
      <c r="M10" s="140">
        <f aca="true" t="shared" si="3" ref="M10:M16">SUM(N10:Q10)</f>
        <v>8671</v>
      </c>
      <c r="N10" s="140">
        <v>440</v>
      </c>
      <c r="O10" s="140">
        <v>0</v>
      </c>
      <c r="P10" s="140">
        <v>7827</v>
      </c>
      <c r="Q10" s="140">
        <v>404</v>
      </c>
      <c r="R10" s="140">
        <f aca="true" t="shared" si="4" ref="R10:R16">SUM(S10:V10)</f>
        <v>4298</v>
      </c>
      <c r="S10" s="140">
        <v>0</v>
      </c>
      <c r="T10" s="140">
        <v>471</v>
      </c>
      <c r="U10" s="140">
        <v>3827</v>
      </c>
      <c r="V10" s="140">
        <v>0</v>
      </c>
      <c r="W10" s="76" t="s">
        <v>295</v>
      </c>
      <c r="X10" s="208" t="s">
        <v>296</v>
      </c>
      <c r="Y10" s="140">
        <f aca="true" t="shared" si="5" ref="Y10:Y16">SUM(Z10:AA10)</f>
        <v>2342</v>
      </c>
      <c r="Z10" s="140">
        <v>1</v>
      </c>
      <c r="AA10" s="140">
        <v>2341</v>
      </c>
      <c r="AB10" s="140">
        <v>5534</v>
      </c>
      <c r="AC10" s="225">
        <f aca="true" t="shared" si="6" ref="AC10:AC20">SUM(AD10:AE10)</f>
        <v>0</v>
      </c>
      <c r="AD10" s="140">
        <v>0</v>
      </c>
      <c r="AE10" s="140">
        <v>0</v>
      </c>
      <c r="AF10" s="140">
        <v>0</v>
      </c>
      <c r="AG10" s="225">
        <f aca="true" t="shared" si="7" ref="AG10:AG16">SUM(AH10:AI10)</f>
        <v>14</v>
      </c>
      <c r="AH10" s="140">
        <v>0</v>
      </c>
      <c r="AI10" s="140">
        <v>14</v>
      </c>
      <c r="AJ10" s="140">
        <v>14540</v>
      </c>
      <c r="AK10" s="140">
        <v>0</v>
      </c>
      <c r="AL10" s="140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 hidden="1">
      <c r="A11" s="76" t="s">
        <v>292</v>
      </c>
      <c r="B11" s="208" t="s">
        <v>298</v>
      </c>
      <c r="C11" s="140">
        <f t="shared" si="0"/>
        <v>75031</v>
      </c>
      <c r="D11" s="140">
        <f t="shared" si="1"/>
        <v>51890</v>
      </c>
      <c r="E11" s="140">
        <v>11520</v>
      </c>
      <c r="F11" s="140">
        <v>32958</v>
      </c>
      <c r="G11" s="140">
        <v>7343</v>
      </c>
      <c r="H11" s="140">
        <v>69</v>
      </c>
      <c r="I11" s="140">
        <f t="shared" si="2"/>
        <v>655</v>
      </c>
      <c r="J11" s="140">
        <v>355</v>
      </c>
      <c r="K11" s="140">
        <v>0</v>
      </c>
      <c r="L11" s="140">
        <v>300</v>
      </c>
      <c r="M11" s="140">
        <f t="shared" si="3"/>
        <v>5271</v>
      </c>
      <c r="N11" s="140">
        <v>973</v>
      </c>
      <c r="O11" s="140">
        <v>0</v>
      </c>
      <c r="P11" s="140">
        <v>3843</v>
      </c>
      <c r="Q11" s="140">
        <v>455</v>
      </c>
      <c r="R11" s="140">
        <f t="shared" si="4"/>
        <v>4467</v>
      </c>
      <c r="S11" s="140">
        <v>0</v>
      </c>
      <c r="T11" s="140">
        <v>292</v>
      </c>
      <c r="U11" s="140">
        <v>4175</v>
      </c>
      <c r="V11" s="140">
        <v>0</v>
      </c>
      <c r="W11" s="76" t="s">
        <v>297</v>
      </c>
      <c r="X11" s="208" t="s">
        <v>298</v>
      </c>
      <c r="Y11" s="140">
        <f t="shared" si="5"/>
        <v>3019</v>
      </c>
      <c r="Z11" s="140">
        <v>32</v>
      </c>
      <c r="AA11" s="140">
        <v>2987</v>
      </c>
      <c r="AB11" s="140">
        <v>4295</v>
      </c>
      <c r="AC11" s="225">
        <f t="shared" si="6"/>
        <v>0</v>
      </c>
      <c r="AD11" s="140">
        <v>0</v>
      </c>
      <c r="AE11" s="140">
        <v>0</v>
      </c>
      <c r="AF11" s="140">
        <v>0</v>
      </c>
      <c r="AG11" s="225">
        <f t="shared" si="7"/>
        <v>200</v>
      </c>
      <c r="AH11" s="140">
        <v>0</v>
      </c>
      <c r="AI11" s="140">
        <v>200</v>
      </c>
      <c r="AJ11" s="140">
        <v>5234</v>
      </c>
      <c r="AK11" s="140">
        <v>0</v>
      </c>
      <c r="AL11" s="140">
        <v>34103</v>
      </c>
      <c r="AM11" s="63"/>
      <c r="AN11" s="63"/>
      <c r="AO11" s="63"/>
      <c r="AP11" s="63"/>
      <c r="AQ11" s="63"/>
      <c r="AR11" s="66"/>
    </row>
    <row r="12" spans="1:44" ht="19.5" customHeight="1" hidden="1">
      <c r="A12" s="76" t="s">
        <v>293</v>
      </c>
      <c r="B12" s="208" t="s">
        <v>300</v>
      </c>
      <c r="C12" s="140">
        <f t="shared" si="0"/>
        <v>104941</v>
      </c>
      <c r="D12" s="140">
        <f t="shared" si="1"/>
        <v>51811</v>
      </c>
      <c r="E12" s="140">
        <v>12073</v>
      </c>
      <c r="F12" s="140">
        <v>34027</v>
      </c>
      <c r="G12" s="140">
        <v>5585</v>
      </c>
      <c r="H12" s="140">
        <v>126</v>
      </c>
      <c r="I12" s="140">
        <f t="shared" si="2"/>
        <v>705</v>
      </c>
      <c r="J12" s="140">
        <v>409</v>
      </c>
      <c r="K12" s="140">
        <v>0</v>
      </c>
      <c r="L12" s="140">
        <v>296</v>
      </c>
      <c r="M12" s="140">
        <f t="shared" si="3"/>
        <v>17498</v>
      </c>
      <c r="N12" s="140">
        <v>2218</v>
      </c>
      <c r="O12" s="140">
        <v>0</v>
      </c>
      <c r="P12" s="140">
        <v>14424</v>
      </c>
      <c r="Q12" s="140">
        <v>856</v>
      </c>
      <c r="R12" s="140">
        <f t="shared" si="4"/>
        <v>4779</v>
      </c>
      <c r="S12" s="140">
        <v>10</v>
      </c>
      <c r="T12" s="140">
        <v>422</v>
      </c>
      <c r="U12" s="140">
        <v>4347</v>
      </c>
      <c r="V12" s="140">
        <v>0</v>
      </c>
      <c r="W12" s="76" t="s">
        <v>299</v>
      </c>
      <c r="X12" s="208" t="s">
        <v>300</v>
      </c>
      <c r="Y12" s="140">
        <f t="shared" si="5"/>
        <v>3177</v>
      </c>
      <c r="Z12" s="140">
        <v>164</v>
      </c>
      <c r="AA12" s="140">
        <v>3013</v>
      </c>
      <c r="AB12" s="140">
        <v>4230</v>
      </c>
      <c r="AC12" s="225">
        <f t="shared" si="6"/>
        <v>0</v>
      </c>
      <c r="AD12" s="140">
        <v>0</v>
      </c>
      <c r="AE12" s="140">
        <v>0</v>
      </c>
      <c r="AF12" s="140">
        <v>0</v>
      </c>
      <c r="AG12" s="225">
        <f t="shared" si="7"/>
        <v>2</v>
      </c>
      <c r="AH12" s="140">
        <v>0</v>
      </c>
      <c r="AI12" s="140">
        <v>2</v>
      </c>
      <c r="AJ12" s="140">
        <v>22739</v>
      </c>
      <c r="AK12" s="140">
        <v>0</v>
      </c>
      <c r="AL12" s="140">
        <v>83312</v>
      </c>
      <c r="AM12" s="63"/>
      <c r="AN12" s="63"/>
      <c r="AO12" s="63"/>
      <c r="AP12" s="63"/>
      <c r="AQ12" s="63"/>
      <c r="AR12" s="66"/>
    </row>
    <row r="13" spans="1:44" ht="19.5" customHeight="1" hidden="1">
      <c r="A13" s="76" t="s">
        <v>288</v>
      </c>
      <c r="B13" s="208" t="s">
        <v>289</v>
      </c>
      <c r="C13" s="140">
        <f t="shared" si="0"/>
        <v>202646</v>
      </c>
      <c r="D13" s="140">
        <f t="shared" si="1"/>
        <v>53853</v>
      </c>
      <c r="E13" s="140">
        <v>12273</v>
      </c>
      <c r="F13" s="140">
        <v>34118</v>
      </c>
      <c r="G13" s="140">
        <v>7325</v>
      </c>
      <c r="H13" s="140">
        <v>137</v>
      </c>
      <c r="I13" s="140">
        <f t="shared" si="2"/>
        <v>1657</v>
      </c>
      <c r="J13" s="140">
        <v>1346</v>
      </c>
      <c r="K13" s="140">
        <v>0</v>
      </c>
      <c r="L13" s="140">
        <v>311</v>
      </c>
      <c r="M13" s="140">
        <f t="shared" si="3"/>
        <v>38546</v>
      </c>
      <c r="N13" s="140">
        <v>2864</v>
      </c>
      <c r="O13" s="140">
        <v>0</v>
      </c>
      <c r="P13" s="140">
        <v>34991</v>
      </c>
      <c r="Q13" s="140">
        <v>691</v>
      </c>
      <c r="R13" s="140">
        <f t="shared" si="4"/>
        <v>5071</v>
      </c>
      <c r="S13" s="140">
        <v>21</v>
      </c>
      <c r="T13" s="140">
        <v>318</v>
      </c>
      <c r="U13" s="140">
        <v>4732</v>
      </c>
      <c r="V13" s="140">
        <v>0</v>
      </c>
      <c r="W13" s="76" t="s">
        <v>288</v>
      </c>
      <c r="X13" s="208" t="s">
        <v>289</v>
      </c>
      <c r="Y13" s="140">
        <f t="shared" si="5"/>
        <v>6038</v>
      </c>
      <c r="Z13" s="140">
        <v>190</v>
      </c>
      <c r="AA13" s="140">
        <v>5848</v>
      </c>
      <c r="AB13" s="140">
        <v>5967</v>
      </c>
      <c r="AC13" s="225">
        <f t="shared" si="6"/>
        <v>0</v>
      </c>
      <c r="AD13" s="140">
        <v>0</v>
      </c>
      <c r="AE13" s="140">
        <v>0</v>
      </c>
      <c r="AF13" s="140">
        <v>0</v>
      </c>
      <c r="AG13" s="225">
        <f t="shared" si="7"/>
        <v>1088</v>
      </c>
      <c r="AH13" s="140">
        <v>0</v>
      </c>
      <c r="AI13" s="140">
        <v>1088</v>
      </c>
      <c r="AJ13" s="140">
        <v>90426</v>
      </c>
      <c r="AK13" s="140">
        <v>0</v>
      </c>
      <c r="AL13" s="140">
        <v>86108</v>
      </c>
      <c r="AM13" s="63"/>
      <c r="AN13" s="63"/>
      <c r="AO13" s="63"/>
      <c r="AP13" s="63"/>
      <c r="AQ13" s="63"/>
      <c r="AR13" s="66"/>
    </row>
    <row r="14" spans="1:44" ht="19.5" customHeight="1" hidden="1">
      <c r="A14" s="76" t="s">
        <v>294</v>
      </c>
      <c r="B14" s="208" t="s">
        <v>290</v>
      </c>
      <c r="C14" s="140">
        <f t="shared" si="0"/>
        <v>131524</v>
      </c>
      <c r="D14" s="140">
        <f t="shared" si="1"/>
        <v>56123</v>
      </c>
      <c r="E14" s="140">
        <v>13374</v>
      </c>
      <c r="F14" s="140">
        <v>34449</v>
      </c>
      <c r="G14" s="140">
        <v>8208</v>
      </c>
      <c r="H14" s="140">
        <v>92</v>
      </c>
      <c r="I14" s="140">
        <f t="shared" si="2"/>
        <v>834</v>
      </c>
      <c r="J14" s="140">
        <v>447</v>
      </c>
      <c r="K14" s="140">
        <v>0</v>
      </c>
      <c r="L14" s="140">
        <v>387</v>
      </c>
      <c r="M14" s="140">
        <f t="shared" si="3"/>
        <v>22509</v>
      </c>
      <c r="N14" s="140">
        <v>3123</v>
      </c>
      <c r="O14" s="140">
        <v>0</v>
      </c>
      <c r="P14" s="140">
        <v>15229</v>
      </c>
      <c r="Q14" s="140">
        <v>4157</v>
      </c>
      <c r="R14" s="140">
        <f t="shared" si="4"/>
        <v>5766</v>
      </c>
      <c r="S14" s="140">
        <v>67</v>
      </c>
      <c r="T14" s="140">
        <v>1281</v>
      </c>
      <c r="U14" s="140">
        <v>4418</v>
      </c>
      <c r="V14" s="140">
        <v>0</v>
      </c>
      <c r="W14" s="76" t="s">
        <v>294</v>
      </c>
      <c r="X14" s="208" t="s">
        <v>290</v>
      </c>
      <c r="Y14" s="140">
        <f t="shared" si="5"/>
        <v>5497</v>
      </c>
      <c r="Z14" s="140">
        <v>865</v>
      </c>
      <c r="AA14" s="140">
        <v>4632</v>
      </c>
      <c r="AB14" s="140">
        <v>6596</v>
      </c>
      <c r="AC14" s="225">
        <f t="shared" si="6"/>
        <v>0</v>
      </c>
      <c r="AD14" s="140">
        <v>0</v>
      </c>
      <c r="AE14" s="140">
        <v>0</v>
      </c>
      <c r="AF14" s="140">
        <v>0</v>
      </c>
      <c r="AG14" s="225">
        <f t="shared" si="7"/>
        <v>61</v>
      </c>
      <c r="AH14" s="140">
        <v>0</v>
      </c>
      <c r="AI14" s="140">
        <v>61</v>
      </c>
      <c r="AJ14" s="140">
        <v>34138</v>
      </c>
      <c r="AK14" s="140">
        <v>0</v>
      </c>
      <c r="AL14" s="140">
        <v>86108</v>
      </c>
      <c r="AM14" s="63"/>
      <c r="AN14" s="63"/>
      <c r="AO14" s="63"/>
      <c r="AP14" s="63"/>
      <c r="AQ14" s="63"/>
      <c r="AR14" s="66"/>
    </row>
    <row r="15" spans="1:44" ht="19.5" customHeight="1" hidden="1">
      <c r="A15" s="76" t="s">
        <v>376</v>
      </c>
      <c r="B15" s="208" t="s">
        <v>375</v>
      </c>
      <c r="C15" s="140">
        <f t="shared" si="0"/>
        <v>134846</v>
      </c>
      <c r="D15" s="140">
        <f t="shared" si="1"/>
        <v>46189</v>
      </c>
      <c r="E15" s="140">
        <v>13854</v>
      </c>
      <c r="F15" s="140">
        <v>15809</v>
      </c>
      <c r="G15" s="216">
        <v>16398</v>
      </c>
      <c r="H15" s="140">
        <v>128</v>
      </c>
      <c r="I15" s="140">
        <f t="shared" si="2"/>
        <v>3394</v>
      </c>
      <c r="J15" s="140">
        <v>1869</v>
      </c>
      <c r="K15" s="140">
        <v>0</v>
      </c>
      <c r="L15" s="140">
        <v>1525</v>
      </c>
      <c r="M15" s="140">
        <f t="shared" si="3"/>
        <v>18973</v>
      </c>
      <c r="N15" s="140">
        <v>6158</v>
      </c>
      <c r="O15" s="140">
        <v>0</v>
      </c>
      <c r="P15" s="140">
        <v>7313</v>
      </c>
      <c r="Q15" s="140">
        <v>5502</v>
      </c>
      <c r="R15" s="140">
        <f t="shared" si="4"/>
        <v>12518</v>
      </c>
      <c r="S15" s="140">
        <v>18</v>
      </c>
      <c r="T15" s="140">
        <v>7320</v>
      </c>
      <c r="U15" s="140">
        <v>5180</v>
      </c>
      <c r="V15" s="140">
        <v>0</v>
      </c>
      <c r="W15" s="76" t="s">
        <v>376</v>
      </c>
      <c r="X15" s="208" t="s">
        <v>375</v>
      </c>
      <c r="Y15" s="140">
        <f t="shared" si="5"/>
        <v>5549</v>
      </c>
      <c r="Z15" s="140">
        <v>509</v>
      </c>
      <c r="AA15" s="140">
        <v>5040</v>
      </c>
      <c r="AB15" s="140">
        <v>7525</v>
      </c>
      <c r="AC15" s="225">
        <f t="shared" si="6"/>
        <v>0</v>
      </c>
      <c r="AD15" s="140">
        <v>0</v>
      </c>
      <c r="AE15" s="140">
        <v>0</v>
      </c>
      <c r="AF15" s="140">
        <v>0</v>
      </c>
      <c r="AG15" s="225">
        <f t="shared" si="7"/>
        <v>87</v>
      </c>
      <c r="AH15" s="140">
        <v>0</v>
      </c>
      <c r="AI15" s="140">
        <v>87</v>
      </c>
      <c r="AJ15" s="140">
        <v>40611</v>
      </c>
      <c r="AK15" s="140">
        <v>0</v>
      </c>
      <c r="AL15" s="140">
        <v>100920</v>
      </c>
      <c r="AM15" s="63"/>
      <c r="AN15" s="63"/>
      <c r="AO15" s="63"/>
      <c r="AP15" s="63"/>
      <c r="AQ15" s="63"/>
      <c r="AR15" s="66"/>
    </row>
    <row r="16" spans="1:44" ht="19.5" customHeight="1" hidden="1">
      <c r="A16" s="76" t="s">
        <v>382</v>
      </c>
      <c r="B16" s="208" t="s">
        <v>381</v>
      </c>
      <c r="C16" s="140">
        <f t="shared" si="0"/>
        <v>125014</v>
      </c>
      <c r="D16" s="140">
        <f t="shared" si="1"/>
        <v>44320</v>
      </c>
      <c r="E16" s="140">
        <v>14040</v>
      </c>
      <c r="F16" s="140">
        <v>14877</v>
      </c>
      <c r="G16" s="216">
        <v>15306</v>
      </c>
      <c r="H16" s="140">
        <v>97</v>
      </c>
      <c r="I16" s="140">
        <f t="shared" si="2"/>
        <v>4050</v>
      </c>
      <c r="J16" s="140">
        <v>2690</v>
      </c>
      <c r="K16" s="140">
        <v>0</v>
      </c>
      <c r="L16" s="140">
        <v>1360</v>
      </c>
      <c r="M16" s="140">
        <f t="shared" si="3"/>
        <v>19151</v>
      </c>
      <c r="N16" s="140">
        <v>6735</v>
      </c>
      <c r="O16" s="140">
        <v>0</v>
      </c>
      <c r="P16" s="140">
        <v>6509</v>
      </c>
      <c r="Q16" s="140">
        <v>5907</v>
      </c>
      <c r="R16" s="140">
        <f t="shared" si="4"/>
        <v>10519</v>
      </c>
      <c r="S16" s="140">
        <v>57</v>
      </c>
      <c r="T16" s="140">
        <v>6113</v>
      </c>
      <c r="U16" s="140">
        <v>4349</v>
      </c>
      <c r="V16" s="140">
        <v>0</v>
      </c>
      <c r="W16" s="76" t="s">
        <v>382</v>
      </c>
      <c r="X16" s="208" t="s">
        <v>381</v>
      </c>
      <c r="Y16" s="140">
        <f t="shared" si="5"/>
        <v>6844</v>
      </c>
      <c r="Z16" s="140">
        <v>476</v>
      </c>
      <c r="AA16" s="140">
        <v>6368</v>
      </c>
      <c r="AB16" s="140">
        <v>4493</v>
      </c>
      <c r="AC16" s="225">
        <f t="shared" si="6"/>
        <v>0</v>
      </c>
      <c r="AD16" s="140">
        <v>0</v>
      </c>
      <c r="AE16" s="140">
        <v>0</v>
      </c>
      <c r="AF16" s="140">
        <v>0</v>
      </c>
      <c r="AG16" s="225">
        <f t="shared" si="7"/>
        <v>1168</v>
      </c>
      <c r="AH16" s="140">
        <v>0</v>
      </c>
      <c r="AI16" s="140">
        <v>1168</v>
      </c>
      <c r="AJ16" s="140">
        <v>34469</v>
      </c>
      <c r="AK16" s="140">
        <v>0</v>
      </c>
      <c r="AL16" s="140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383</v>
      </c>
      <c r="B17" s="208" t="s">
        <v>384</v>
      </c>
      <c r="C17" s="140">
        <v>127086</v>
      </c>
      <c r="D17" s="140">
        <v>44216</v>
      </c>
      <c r="E17" s="140">
        <v>14121</v>
      </c>
      <c r="F17" s="140">
        <v>15497</v>
      </c>
      <c r="G17" s="216">
        <v>14480</v>
      </c>
      <c r="H17" s="140">
        <v>118</v>
      </c>
      <c r="I17" s="140">
        <v>4643</v>
      </c>
      <c r="J17" s="140">
        <v>3095</v>
      </c>
      <c r="K17" s="140">
        <f>SUM(K20:K43)</f>
        <v>0</v>
      </c>
      <c r="L17" s="140">
        <v>1548</v>
      </c>
      <c r="M17" s="140">
        <v>34542</v>
      </c>
      <c r="N17" s="140">
        <v>6575</v>
      </c>
      <c r="O17" s="140">
        <v>0</v>
      </c>
      <c r="P17" s="140">
        <v>21667</v>
      </c>
      <c r="Q17" s="140">
        <v>6300</v>
      </c>
      <c r="R17" s="140">
        <v>9522</v>
      </c>
      <c r="S17" s="140">
        <v>23</v>
      </c>
      <c r="T17" s="140">
        <v>5263</v>
      </c>
      <c r="U17" s="140">
        <v>4236</v>
      </c>
      <c r="V17" s="140">
        <f>SUM(V20:V43)</f>
        <v>0</v>
      </c>
      <c r="W17" s="76" t="s">
        <v>383</v>
      </c>
      <c r="X17" s="208" t="s">
        <v>385</v>
      </c>
      <c r="Y17" s="140">
        <v>7403</v>
      </c>
      <c r="Z17" s="140">
        <v>547</v>
      </c>
      <c r="AA17" s="140">
        <v>6856</v>
      </c>
      <c r="AB17" s="140">
        <v>5595</v>
      </c>
      <c r="AC17" s="225">
        <f t="shared" si="6"/>
        <v>0</v>
      </c>
      <c r="AD17" s="140">
        <v>0</v>
      </c>
      <c r="AE17" s="140">
        <v>0</v>
      </c>
      <c r="AF17" s="140">
        <v>0</v>
      </c>
      <c r="AG17" s="225">
        <v>140</v>
      </c>
      <c r="AH17" s="140">
        <v>0</v>
      </c>
      <c r="AI17" s="140">
        <v>140</v>
      </c>
      <c r="AJ17" s="140">
        <v>21025</v>
      </c>
      <c r="AK17" s="140">
        <v>0</v>
      </c>
      <c r="AL17" s="140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386</v>
      </c>
      <c r="B18" s="208" t="s">
        <v>389</v>
      </c>
      <c r="C18" s="140">
        <v>114270</v>
      </c>
      <c r="D18" s="140">
        <v>42516</v>
      </c>
      <c r="E18" s="140">
        <v>14249</v>
      </c>
      <c r="F18" s="140">
        <v>13395</v>
      </c>
      <c r="G18" s="216">
        <v>14755</v>
      </c>
      <c r="H18" s="140">
        <v>116</v>
      </c>
      <c r="I18" s="140">
        <v>4579</v>
      </c>
      <c r="J18" s="140">
        <v>2721</v>
      </c>
      <c r="K18" s="140">
        <f>SUM(K20:K43)</f>
        <v>0</v>
      </c>
      <c r="L18" s="140">
        <v>1859</v>
      </c>
      <c r="M18" s="140">
        <v>15927</v>
      </c>
      <c r="N18" s="140">
        <v>6479</v>
      </c>
      <c r="O18" s="140">
        <v>0</v>
      </c>
      <c r="P18" s="140">
        <v>116</v>
      </c>
      <c r="Q18" s="140">
        <v>9332</v>
      </c>
      <c r="R18" s="140">
        <v>9522</v>
      </c>
      <c r="S18" s="140">
        <v>17</v>
      </c>
      <c r="T18" s="140">
        <v>6021</v>
      </c>
      <c r="U18" s="140">
        <v>4324</v>
      </c>
      <c r="V18" s="140">
        <v>0</v>
      </c>
      <c r="W18" s="76" t="s">
        <v>386</v>
      </c>
      <c r="X18" s="208" t="s">
        <v>387</v>
      </c>
      <c r="Y18" s="140">
        <v>7152</v>
      </c>
      <c r="Z18" s="140">
        <v>888</v>
      </c>
      <c r="AA18" s="140">
        <v>6264</v>
      </c>
      <c r="AB18" s="140">
        <v>4235</v>
      </c>
      <c r="AC18" s="225">
        <f>SUM(AD18:AE18)</f>
        <v>0</v>
      </c>
      <c r="AD18" s="140">
        <v>0</v>
      </c>
      <c r="AE18" s="140">
        <v>0</v>
      </c>
      <c r="AF18" s="140">
        <v>0</v>
      </c>
      <c r="AG18" s="225">
        <v>871</v>
      </c>
      <c r="AH18" s="140">
        <v>0</v>
      </c>
      <c r="AI18" s="140">
        <v>871</v>
      </c>
      <c r="AJ18" s="140">
        <v>28628</v>
      </c>
      <c r="AK18" s="140">
        <v>0</v>
      </c>
      <c r="AL18" s="140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399</v>
      </c>
      <c r="B19" s="208" t="s">
        <v>394</v>
      </c>
      <c r="C19" s="140">
        <v>183543</v>
      </c>
      <c r="D19" s="140">
        <v>51191</v>
      </c>
      <c r="E19" s="140">
        <v>14374</v>
      </c>
      <c r="F19" s="140">
        <v>14584</v>
      </c>
      <c r="G19" s="216">
        <v>22139</v>
      </c>
      <c r="H19" s="140">
        <v>94</v>
      </c>
      <c r="I19" s="140">
        <v>6242</v>
      </c>
      <c r="J19" s="140">
        <v>3174</v>
      </c>
      <c r="K19" s="140">
        <f>SUM(K44:K44)</f>
        <v>0</v>
      </c>
      <c r="L19" s="140">
        <v>3067</v>
      </c>
      <c r="M19" s="140">
        <v>94634</v>
      </c>
      <c r="N19" s="140">
        <v>17100</v>
      </c>
      <c r="O19" s="140">
        <f>SUM(O44:O44)</f>
        <v>0</v>
      </c>
      <c r="P19" s="140">
        <v>66995</v>
      </c>
      <c r="Q19" s="140">
        <v>10540</v>
      </c>
      <c r="R19" s="140">
        <v>10935</v>
      </c>
      <c r="S19" s="140">
        <v>0</v>
      </c>
      <c r="T19" s="140">
        <v>6177</v>
      </c>
      <c r="U19" s="140">
        <v>4757</v>
      </c>
      <c r="V19" s="140">
        <f>SUM(V44:V44)</f>
        <v>0</v>
      </c>
      <c r="W19" s="76" t="s">
        <v>393</v>
      </c>
      <c r="X19" s="208" t="s">
        <v>394</v>
      </c>
      <c r="Y19" s="140">
        <v>11335</v>
      </c>
      <c r="Z19" s="140">
        <v>1668</v>
      </c>
      <c r="AA19" s="140">
        <v>9667</v>
      </c>
      <c r="AB19" s="140">
        <v>5288</v>
      </c>
      <c r="AC19" s="225">
        <f t="shared" si="6"/>
        <v>0</v>
      </c>
      <c r="AD19" s="140">
        <f>SUM(AD44:AD44)</f>
        <v>0</v>
      </c>
      <c r="AE19" s="140">
        <f>SUM(AE44:AE44)</f>
        <v>0</v>
      </c>
      <c r="AF19" s="140">
        <f>SUM(AF44:AF44)</f>
        <v>0</v>
      </c>
      <c r="AG19" s="225">
        <v>1841</v>
      </c>
      <c r="AH19" s="140">
        <v>0</v>
      </c>
      <c r="AI19" s="140">
        <v>1841</v>
      </c>
      <c r="AJ19" s="140">
        <v>2077</v>
      </c>
      <c r="AK19" s="140">
        <f>SUM(AK44:AK44)</f>
        <v>0</v>
      </c>
      <c r="AL19" s="140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397</v>
      </c>
      <c r="B20" s="208" t="s">
        <v>398</v>
      </c>
      <c r="C20" s="140">
        <v>179225</v>
      </c>
      <c r="D20" s="140">
        <f aca="true" t="shared" si="8" ref="D20:D26">SUM(E20:H20)</f>
        <v>48625</v>
      </c>
      <c r="E20" s="140">
        <v>13876</v>
      </c>
      <c r="F20" s="140">
        <v>13914</v>
      </c>
      <c r="G20" s="216">
        <v>20748</v>
      </c>
      <c r="H20" s="216">
        <v>87</v>
      </c>
      <c r="I20" s="140">
        <f>SUM(J20:L20)</f>
        <v>6518</v>
      </c>
      <c r="J20" s="140">
        <v>3459</v>
      </c>
      <c r="K20" s="140">
        <v>0</v>
      </c>
      <c r="L20" s="140">
        <v>3059</v>
      </c>
      <c r="M20" s="140">
        <v>41330</v>
      </c>
      <c r="N20" s="140">
        <v>19547</v>
      </c>
      <c r="O20" s="140">
        <v>0</v>
      </c>
      <c r="P20" s="140">
        <v>16174</v>
      </c>
      <c r="Q20" s="140">
        <v>5608</v>
      </c>
      <c r="R20" s="140">
        <f>SUM(S20:V20)</f>
        <v>11421</v>
      </c>
      <c r="S20" s="140">
        <v>378</v>
      </c>
      <c r="T20" s="140">
        <v>6499</v>
      </c>
      <c r="U20" s="140">
        <v>4544</v>
      </c>
      <c r="V20" s="140">
        <v>0</v>
      </c>
      <c r="W20" s="76" t="s">
        <v>397</v>
      </c>
      <c r="X20" s="208" t="s">
        <v>398</v>
      </c>
      <c r="Y20" s="140">
        <f aca="true" t="shared" si="9" ref="Y20:Y28">SUM(Z20:AA20)</f>
        <v>8754</v>
      </c>
      <c r="Z20" s="140">
        <v>1193</v>
      </c>
      <c r="AA20" s="140">
        <v>7561</v>
      </c>
      <c r="AB20" s="140">
        <v>7025</v>
      </c>
      <c r="AC20" s="225">
        <f t="shared" si="6"/>
        <v>0</v>
      </c>
      <c r="AD20" s="140">
        <v>0</v>
      </c>
      <c r="AE20" s="140">
        <v>0</v>
      </c>
      <c r="AF20" s="140">
        <v>0</v>
      </c>
      <c r="AG20" s="225">
        <f>SUM(AH20:AI20)</f>
        <v>1665</v>
      </c>
      <c r="AH20" s="140">
        <v>0</v>
      </c>
      <c r="AI20" s="140">
        <v>1665</v>
      </c>
      <c r="AJ20" s="140">
        <v>54264</v>
      </c>
      <c r="AK20" s="140">
        <v>0</v>
      </c>
      <c r="AL20" s="140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413</v>
      </c>
      <c r="B21" s="208" t="s">
        <v>412</v>
      </c>
      <c r="C21" s="140">
        <f aca="true" t="shared" si="10" ref="C21:C26">SUM(D21,I21,M21,R21,Y21,AB21,AC21,AF21,AI21,AJ21,AK21)</f>
        <v>157352.37</v>
      </c>
      <c r="D21" s="140">
        <f t="shared" si="8"/>
        <v>52334.939999999995</v>
      </c>
      <c r="E21" s="140">
        <v>15195.95</v>
      </c>
      <c r="F21" s="140">
        <v>14788.2</v>
      </c>
      <c r="G21" s="216">
        <v>22227.55</v>
      </c>
      <c r="H21" s="216">
        <v>123.24</v>
      </c>
      <c r="I21" s="140">
        <v>7041.68</v>
      </c>
      <c r="J21" s="140">
        <v>3602.43</v>
      </c>
      <c r="K21" s="140">
        <v>0</v>
      </c>
      <c r="L21" s="140">
        <v>3439.25</v>
      </c>
      <c r="M21" s="140">
        <f aca="true" t="shared" si="11" ref="M21:M26">SUM(N21:Q21)</f>
        <v>38015.58</v>
      </c>
      <c r="N21" s="140">
        <v>20318.78</v>
      </c>
      <c r="O21" s="140">
        <v>0</v>
      </c>
      <c r="P21" s="140">
        <v>16620.52</v>
      </c>
      <c r="Q21" s="140">
        <v>1076.28</v>
      </c>
      <c r="R21" s="140">
        <f>SUM(S21:V21)</f>
        <v>9123.32</v>
      </c>
      <c r="S21" s="140">
        <v>0</v>
      </c>
      <c r="T21" s="140">
        <v>5329.01</v>
      </c>
      <c r="U21" s="140">
        <v>3794.31</v>
      </c>
      <c r="V21" s="140">
        <v>0</v>
      </c>
      <c r="W21" s="76" t="s">
        <v>415</v>
      </c>
      <c r="X21" s="208" t="s">
        <v>412</v>
      </c>
      <c r="Y21" s="140">
        <f t="shared" si="9"/>
        <v>7964.51</v>
      </c>
      <c r="Z21" s="140">
        <v>1698.31</v>
      </c>
      <c r="AA21" s="140">
        <v>6266.2</v>
      </c>
      <c r="AB21" s="140">
        <v>3415.8</v>
      </c>
      <c r="AC21" s="225"/>
      <c r="AD21" s="140"/>
      <c r="AE21" s="140"/>
      <c r="AF21" s="140"/>
      <c r="AG21" s="225">
        <v>1578.02</v>
      </c>
      <c r="AH21" s="140">
        <v>1</v>
      </c>
      <c r="AI21" s="140">
        <v>1577.02</v>
      </c>
      <c r="AJ21" s="140">
        <v>37879.52</v>
      </c>
      <c r="AK21" s="140"/>
      <c r="AL21" s="140">
        <v>89955</v>
      </c>
      <c r="AM21" s="64"/>
      <c r="AN21" s="63"/>
      <c r="AO21" s="63"/>
      <c r="AP21" s="63"/>
      <c r="AQ21" s="63"/>
      <c r="AR21" s="63"/>
    </row>
    <row r="22" spans="1:44" s="227" customFormat="1" ht="19.5" customHeight="1">
      <c r="A22" s="223" t="s">
        <v>441</v>
      </c>
      <c r="B22" s="256" t="s">
        <v>418</v>
      </c>
      <c r="C22" s="225">
        <f t="shared" si="10"/>
        <v>168908</v>
      </c>
      <c r="D22" s="225">
        <f t="shared" si="8"/>
        <v>52677</v>
      </c>
      <c r="E22" s="225">
        <v>15049</v>
      </c>
      <c r="F22" s="225">
        <v>14435</v>
      </c>
      <c r="G22" s="257">
        <v>23052</v>
      </c>
      <c r="H22" s="257">
        <v>141</v>
      </c>
      <c r="I22" s="225">
        <f aca="true" t="shared" si="12" ref="I22:I28">SUM(J22:L22)</f>
        <v>14280</v>
      </c>
      <c r="J22" s="225">
        <v>10453</v>
      </c>
      <c r="K22" s="225">
        <v>0</v>
      </c>
      <c r="L22" s="225">
        <v>3827</v>
      </c>
      <c r="M22" s="225">
        <f t="shared" si="11"/>
        <v>31333</v>
      </c>
      <c r="N22" s="225">
        <v>14396</v>
      </c>
      <c r="O22" s="225">
        <v>0</v>
      </c>
      <c r="P22" s="225">
        <v>15690</v>
      </c>
      <c r="Q22" s="225">
        <v>1247</v>
      </c>
      <c r="R22" s="225">
        <f>SUM(S22:V22)</f>
        <v>9013</v>
      </c>
      <c r="S22" s="225">
        <v>333</v>
      </c>
      <c r="T22" s="225">
        <v>5142</v>
      </c>
      <c r="U22" s="225">
        <v>3538</v>
      </c>
      <c r="V22" s="225">
        <v>0</v>
      </c>
      <c r="W22" s="223" t="s">
        <v>441</v>
      </c>
      <c r="X22" s="256" t="s">
        <v>418</v>
      </c>
      <c r="Y22" s="225">
        <f t="shared" si="9"/>
        <v>7190</v>
      </c>
      <c r="Z22" s="225">
        <v>1101</v>
      </c>
      <c r="AA22" s="225">
        <v>6089</v>
      </c>
      <c r="AB22" s="225">
        <v>4286</v>
      </c>
      <c r="AC22" s="225">
        <v>0</v>
      </c>
      <c r="AD22" s="225">
        <v>0</v>
      </c>
      <c r="AE22" s="225">
        <v>0</v>
      </c>
      <c r="AF22" s="225">
        <v>0</v>
      </c>
      <c r="AG22" s="225">
        <v>1347</v>
      </c>
      <c r="AH22" s="225">
        <v>1</v>
      </c>
      <c r="AI22" s="225">
        <v>1346</v>
      </c>
      <c r="AJ22" s="225">
        <v>48783</v>
      </c>
      <c r="AK22" s="225">
        <v>0</v>
      </c>
      <c r="AL22" s="225">
        <v>81782.003</v>
      </c>
      <c r="AM22" s="64"/>
      <c r="AN22" s="64"/>
      <c r="AO22" s="64"/>
      <c r="AP22" s="64"/>
      <c r="AQ22" s="64"/>
      <c r="AR22" s="64"/>
    </row>
    <row r="23" spans="1:44" s="227" customFormat="1" ht="19.5" customHeight="1">
      <c r="A23" s="223" t="s">
        <v>439</v>
      </c>
      <c r="B23" s="256" t="s">
        <v>440</v>
      </c>
      <c r="C23" s="225">
        <f t="shared" si="10"/>
        <v>172954.04</v>
      </c>
      <c r="D23" s="225">
        <f t="shared" si="8"/>
        <v>54001.560000000005</v>
      </c>
      <c r="E23" s="225">
        <v>15102.75</v>
      </c>
      <c r="F23" s="225">
        <v>16711.46</v>
      </c>
      <c r="G23" s="257">
        <v>22037.59</v>
      </c>
      <c r="H23" s="257">
        <v>149.76</v>
      </c>
      <c r="I23" s="225">
        <f t="shared" si="12"/>
        <v>8225.63</v>
      </c>
      <c r="J23" s="225">
        <v>4756.16</v>
      </c>
      <c r="K23" s="225">
        <v>0</v>
      </c>
      <c r="L23" s="225">
        <v>3469.47</v>
      </c>
      <c r="M23" s="225">
        <f t="shared" si="11"/>
        <v>39236.97</v>
      </c>
      <c r="N23" s="225">
        <v>15828.81</v>
      </c>
      <c r="O23" s="225">
        <v>0</v>
      </c>
      <c r="P23" s="225">
        <v>22372.16</v>
      </c>
      <c r="Q23" s="225">
        <v>1036</v>
      </c>
      <c r="R23" s="225">
        <f>SUM(S23:V23)</f>
        <v>9552.52</v>
      </c>
      <c r="S23" s="225">
        <v>309.88</v>
      </c>
      <c r="T23" s="225">
        <v>5317.18</v>
      </c>
      <c r="U23" s="225">
        <v>3925.46</v>
      </c>
      <c r="V23" s="225">
        <v>0</v>
      </c>
      <c r="W23" s="223" t="s">
        <v>439</v>
      </c>
      <c r="X23" s="256" t="s">
        <v>440</v>
      </c>
      <c r="Y23" s="225">
        <f t="shared" si="9"/>
        <v>7157.889999999999</v>
      </c>
      <c r="Z23" s="225">
        <v>1211.31</v>
      </c>
      <c r="AA23" s="225">
        <v>5946.58</v>
      </c>
      <c r="AB23" s="225">
        <v>4242.92</v>
      </c>
      <c r="AC23" s="225">
        <v>0</v>
      </c>
      <c r="AD23" s="225">
        <v>0</v>
      </c>
      <c r="AE23" s="225">
        <v>0</v>
      </c>
      <c r="AF23" s="225">
        <v>0</v>
      </c>
      <c r="AG23" s="225">
        <v>1686.55</v>
      </c>
      <c r="AH23" s="225">
        <v>1</v>
      </c>
      <c r="AI23" s="225">
        <v>1685.55</v>
      </c>
      <c r="AJ23" s="225">
        <v>48851</v>
      </c>
      <c r="AK23" s="225">
        <v>0</v>
      </c>
      <c r="AL23" s="225">
        <v>46035.769</v>
      </c>
      <c r="AM23" s="64"/>
      <c r="AN23" s="64"/>
      <c r="AO23" s="64"/>
      <c r="AP23" s="64"/>
      <c r="AQ23" s="64"/>
      <c r="AR23" s="64"/>
    </row>
    <row r="24" spans="1:44" s="227" customFormat="1" ht="19.5" customHeight="1">
      <c r="A24" s="223" t="s">
        <v>445</v>
      </c>
      <c r="B24" s="256" t="s">
        <v>446</v>
      </c>
      <c r="C24" s="225">
        <f t="shared" si="10"/>
        <v>193714.76</v>
      </c>
      <c r="D24" s="225">
        <f t="shared" si="8"/>
        <v>52949.229999999996</v>
      </c>
      <c r="E24" s="225">
        <v>15162.56</v>
      </c>
      <c r="F24" s="225">
        <v>14000.82</v>
      </c>
      <c r="G24" s="257">
        <v>23618</v>
      </c>
      <c r="H24" s="257">
        <v>167.85</v>
      </c>
      <c r="I24" s="225">
        <f t="shared" si="12"/>
        <v>12965.65</v>
      </c>
      <c r="J24" s="225">
        <v>7649.33</v>
      </c>
      <c r="K24" s="225">
        <v>0</v>
      </c>
      <c r="L24" s="225">
        <v>5316.32</v>
      </c>
      <c r="M24" s="225">
        <f t="shared" si="11"/>
        <v>36542.21</v>
      </c>
      <c r="N24" s="225">
        <v>15591.33</v>
      </c>
      <c r="O24" s="225">
        <v>0</v>
      </c>
      <c r="P24" s="225">
        <v>13601.84</v>
      </c>
      <c r="Q24" s="225">
        <v>7349.04</v>
      </c>
      <c r="R24" s="225">
        <f>SUM(S24:U24)</f>
        <v>7951.77</v>
      </c>
      <c r="S24" s="225">
        <v>357.05</v>
      </c>
      <c r="T24" s="225">
        <v>6989.56</v>
      </c>
      <c r="U24" s="225">
        <v>605.16</v>
      </c>
      <c r="V24" s="225"/>
      <c r="W24" s="223" t="s">
        <v>445</v>
      </c>
      <c r="X24" s="256" t="s">
        <v>446</v>
      </c>
      <c r="Y24" s="225">
        <f t="shared" si="9"/>
        <v>9643.05</v>
      </c>
      <c r="Z24" s="225">
        <v>1172.9</v>
      </c>
      <c r="AA24" s="225">
        <v>8470.15</v>
      </c>
      <c r="AB24" s="225">
        <v>6740.85</v>
      </c>
      <c r="AC24" s="225">
        <v>0</v>
      </c>
      <c r="AD24" s="225">
        <v>0</v>
      </c>
      <c r="AE24" s="225">
        <v>0</v>
      </c>
      <c r="AF24" s="225">
        <v>0</v>
      </c>
      <c r="AG24" s="225">
        <f>SUM(AH24:AI24)</f>
        <v>1759</v>
      </c>
      <c r="AH24" s="225">
        <v>0</v>
      </c>
      <c r="AI24" s="225">
        <v>1759</v>
      </c>
      <c r="AJ24" s="225">
        <v>65163</v>
      </c>
      <c r="AK24" s="225">
        <v>0</v>
      </c>
      <c r="AL24" s="225">
        <v>68480.579</v>
      </c>
      <c r="AM24" s="64"/>
      <c r="AN24" s="64"/>
      <c r="AO24" s="64"/>
      <c r="AP24" s="64"/>
      <c r="AQ24" s="64"/>
      <c r="AR24" s="64"/>
    </row>
    <row r="25" spans="1:44" s="227" customFormat="1" ht="19.5" customHeight="1">
      <c r="A25" s="223" t="s">
        <v>476</v>
      </c>
      <c r="B25" s="256" t="s">
        <v>477</v>
      </c>
      <c r="C25" s="225">
        <f t="shared" si="10"/>
        <v>192521.22999999998</v>
      </c>
      <c r="D25" s="225">
        <f t="shared" si="8"/>
        <v>52103.87</v>
      </c>
      <c r="E25" s="225">
        <v>17486.64</v>
      </c>
      <c r="F25" s="225">
        <v>14742.65</v>
      </c>
      <c r="G25" s="257">
        <v>19718.82</v>
      </c>
      <c r="H25" s="257">
        <v>155.76</v>
      </c>
      <c r="I25" s="225">
        <f t="shared" si="12"/>
        <v>13737.12</v>
      </c>
      <c r="J25" s="225">
        <v>8302.27</v>
      </c>
      <c r="K25" s="225">
        <v>0</v>
      </c>
      <c r="L25" s="225">
        <v>5434.85</v>
      </c>
      <c r="M25" s="225">
        <f t="shared" si="11"/>
        <v>27245.450000000004</v>
      </c>
      <c r="N25" s="225">
        <v>17076.58</v>
      </c>
      <c r="O25" s="225">
        <v>0</v>
      </c>
      <c r="P25" s="225">
        <v>8437.58</v>
      </c>
      <c r="Q25" s="225">
        <v>1731.29</v>
      </c>
      <c r="R25" s="225">
        <f>SUM(S25:U25)</f>
        <v>11223.03</v>
      </c>
      <c r="S25" s="225">
        <v>320.11</v>
      </c>
      <c r="T25" s="225">
        <v>10341.79</v>
      </c>
      <c r="U25" s="225">
        <v>561.13</v>
      </c>
      <c r="V25" s="225">
        <v>0</v>
      </c>
      <c r="W25" s="223" t="s">
        <v>476</v>
      </c>
      <c r="X25" s="256" t="s">
        <v>477</v>
      </c>
      <c r="Y25" s="225">
        <f t="shared" si="9"/>
        <v>12629.09</v>
      </c>
      <c r="Z25" s="225">
        <v>1523.77</v>
      </c>
      <c r="AA25" s="225">
        <v>11105.32</v>
      </c>
      <c r="AB25" s="225">
        <v>6922.88</v>
      </c>
      <c r="AC25" s="225">
        <v>0</v>
      </c>
      <c r="AD25" s="225">
        <v>0</v>
      </c>
      <c r="AE25" s="225">
        <v>0</v>
      </c>
      <c r="AF25" s="225">
        <v>0</v>
      </c>
      <c r="AG25" s="225">
        <v>1412.26</v>
      </c>
      <c r="AH25" s="225">
        <v>0</v>
      </c>
      <c r="AI25" s="225">
        <v>1412.26</v>
      </c>
      <c r="AJ25" s="225">
        <v>67247.53</v>
      </c>
      <c r="AK25" s="225">
        <v>0</v>
      </c>
      <c r="AL25" s="225">
        <v>87049.166</v>
      </c>
      <c r="AM25" s="64"/>
      <c r="AN25" s="64"/>
      <c r="AO25" s="64"/>
      <c r="AP25" s="64"/>
      <c r="AQ25" s="64"/>
      <c r="AR25" s="64"/>
    </row>
    <row r="26" spans="1:44" s="227" customFormat="1" ht="19.5" customHeight="1">
      <c r="A26" s="223" t="s">
        <v>480</v>
      </c>
      <c r="B26" s="256" t="s">
        <v>483</v>
      </c>
      <c r="C26" s="225">
        <f t="shared" si="10"/>
        <v>290539</v>
      </c>
      <c r="D26" s="225">
        <f t="shared" si="8"/>
        <v>54405</v>
      </c>
      <c r="E26" s="225">
        <v>14974</v>
      </c>
      <c r="F26" s="225">
        <v>15957</v>
      </c>
      <c r="G26" s="257">
        <v>22987</v>
      </c>
      <c r="H26" s="257">
        <v>487</v>
      </c>
      <c r="I26" s="225">
        <f t="shared" si="12"/>
        <v>14799.5</v>
      </c>
      <c r="J26" s="225">
        <v>7987.3</v>
      </c>
      <c r="K26" s="225" t="s">
        <v>487</v>
      </c>
      <c r="L26" s="225">
        <v>6812.2</v>
      </c>
      <c r="M26" s="225">
        <f t="shared" si="11"/>
        <v>96784</v>
      </c>
      <c r="N26" s="225">
        <v>42849</v>
      </c>
      <c r="O26" s="225" t="s">
        <v>488</v>
      </c>
      <c r="P26" s="225">
        <v>30319</v>
      </c>
      <c r="Q26" s="225">
        <v>23616</v>
      </c>
      <c r="R26" s="225">
        <f>SUM(S26:U26)</f>
        <v>10619.5</v>
      </c>
      <c r="S26" s="225">
        <v>355.3</v>
      </c>
      <c r="T26" s="225">
        <v>9489</v>
      </c>
      <c r="U26" s="225">
        <v>775.2</v>
      </c>
      <c r="V26" s="225"/>
      <c r="W26" s="223" t="s">
        <v>480</v>
      </c>
      <c r="X26" s="256" t="s">
        <v>483</v>
      </c>
      <c r="Y26" s="225">
        <f t="shared" si="9"/>
        <v>13211</v>
      </c>
      <c r="Z26" s="225">
        <v>2482</v>
      </c>
      <c r="AA26" s="225">
        <v>10729</v>
      </c>
      <c r="AB26" s="225">
        <v>7041</v>
      </c>
      <c r="AC26" s="225"/>
      <c r="AD26" s="225"/>
      <c r="AE26" s="225"/>
      <c r="AF26" s="225"/>
      <c r="AG26" s="225">
        <v>237</v>
      </c>
      <c r="AH26" s="225"/>
      <c r="AI26" s="225">
        <v>237</v>
      </c>
      <c r="AJ26" s="225">
        <v>93442</v>
      </c>
      <c r="AK26" s="225"/>
      <c r="AL26" s="225">
        <v>100600</v>
      </c>
      <c r="AM26" s="64"/>
      <c r="AN26" s="64"/>
      <c r="AO26" s="64"/>
      <c r="AP26" s="64"/>
      <c r="AQ26" s="64"/>
      <c r="AR26" s="64"/>
    </row>
    <row r="27" spans="1:44" s="227" customFormat="1" ht="19.5" customHeight="1">
      <c r="A27" s="223" t="s">
        <v>486</v>
      </c>
      <c r="B27" s="256" t="s">
        <v>489</v>
      </c>
      <c r="C27" s="225">
        <f>SUM(D27,I27,M27,R27,Y27,AB27,AC27,AF27,AI27,AJ27,AK27)-1</f>
        <v>275745</v>
      </c>
      <c r="D27" s="225">
        <f>SUM(E27:H27)</f>
        <v>62542</v>
      </c>
      <c r="E27" s="225">
        <v>13712</v>
      </c>
      <c r="F27" s="225">
        <v>23663</v>
      </c>
      <c r="G27" s="257">
        <v>24016</v>
      </c>
      <c r="H27" s="257">
        <v>1151</v>
      </c>
      <c r="I27" s="225">
        <f t="shared" si="12"/>
        <v>14905</v>
      </c>
      <c r="J27" s="225">
        <v>7729</v>
      </c>
      <c r="K27" s="225" t="s">
        <v>487</v>
      </c>
      <c r="L27" s="225">
        <v>7176</v>
      </c>
      <c r="M27" s="225">
        <f>SUM(N27:Q27)</f>
        <v>60464</v>
      </c>
      <c r="N27" s="225">
        <v>25694</v>
      </c>
      <c r="O27" s="225" t="s">
        <v>487</v>
      </c>
      <c r="P27" s="225">
        <v>23265</v>
      </c>
      <c r="Q27" s="225">
        <v>11505</v>
      </c>
      <c r="R27" s="225">
        <f>SUM(S27:U27)</f>
        <v>13588</v>
      </c>
      <c r="S27" s="225">
        <v>336</v>
      </c>
      <c r="T27" s="225">
        <v>11274</v>
      </c>
      <c r="U27" s="225">
        <v>1978</v>
      </c>
      <c r="V27" s="225"/>
      <c r="W27" s="223" t="s">
        <v>486</v>
      </c>
      <c r="X27" s="256" t="s">
        <v>489</v>
      </c>
      <c r="Y27" s="225">
        <f t="shared" si="9"/>
        <v>13508</v>
      </c>
      <c r="Z27" s="225">
        <v>1657</v>
      </c>
      <c r="AA27" s="225">
        <v>11851</v>
      </c>
      <c r="AB27" s="225">
        <v>7183</v>
      </c>
      <c r="AC27" s="225"/>
      <c r="AD27" s="225"/>
      <c r="AE27" s="225"/>
      <c r="AF27" s="225"/>
      <c r="AG27" s="225">
        <v>2120</v>
      </c>
      <c r="AH27" s="225"/>
      <c r="AI27" s="225">
        <v>2120</v>
      </c>
      <c r="AJ27" s="225">
        <v>101436</v>
      </c>
      <c r="AK27" s="225"/>
      <c r="AL27" s="225">
        <v>100600</v>
      </c>
      <c r="AM27" s="64"/>
      <c r="AN27" s="64"/>
      <c r="AO27" s="64"/>
      <c r="AP27" s="64"/>
      <c r="AQ27" s="64"/>
      <c r="AR27" s="64"/>
    </row>
    <row r="28" spans="1:44" s="227" customFormat="1" ht="19.5" customHeight="1">
      <c r="A28" s="223" t="s">
        <v>497</v>
      </c>
      <c r="B28" s="256" t="s">
        <v>498</v>
      </c>
      <c r="C28" s="225">
        <v>261344</v>
      </c>
      <c r="D28" s="225">
        <v>61565</v>
      </c>
      <c r="E28" s="225">
        <v>18434</v>
      </c>
      <c r="F28" s="225">
        <v>19425</v>
      </c>
      <c r="G28" s="257">
        <v>23167</v>
      </c>
      <c r="H28" s="257">
        <v>538</v>
      </c>
      <c r="I28" s="225">
        <f t="shared" si="12"/>
        <v>12117</v>
      </c>
      <c r="J28" s="225">
        <v>4418</v>
      </c>
      <c r="K28" s="225" t="s">
        <v>487</v>
      </c>
      <c r="L28" s="225">
        <v>7699</v>
      </c>
      <c r="M28" s="225">
        <f>SUM(N28:Q28)</f>
        <v>93924</v>
      </c>
      <c r="N28" s="225">
        <v>73043</v>
      </c>
      <c r="O28" s="225" t="s">
        <v>487</v>
      </c>
      <c r="P28" s="225">
        <v>14019</v>
      </c>
      <c r="Q28" s="225">
        <v>6862</v>
      </c>
      <c r="R28" s="225">
        <f>SUM(S28:U28)</f>
        <v>12871</v>
      </c>
      <c r="S28" s="225">
        <v>378</v>
      </c>
      <c r="T28" s="225">
        <v>10544</v>
      </c>
      <c r="U28" s="225">
        <v>1949</v>
      </c>
      <c r="V28" s="225"/>
      <c r="W28" s="223" t="s">
        <v>497</v>
      </c>
      <c r="X28" s="256" t="s">
        <v>498</v>
      </c>
      <c r="Y28" s="225">
        <f t="shared" si="9"/>
        <v>14013</v>
      </c>
      <c r="Z28" s="225">
        <v>1608</v>
      </c>
      <c r="AA28" s="225">
        <v>12405</v>
      </c>
      <c r="AB28" s="225">
        <v>7173</v>
      </c>
      <c r="AC28" s="225"/>
      <c r="AD28" s="225"/>
      <c r="AE28" s="225"/>
      <c r="AF28" s="225"/>
      <c r="AG28" s="225">
        <v>1399</v>
      </c>
      <c r="AH28" s="225"/>
      <c r="AI28" s="225">
        <v>1399</v>
      </c>
      <c r="AJ28" s="225">
        <v>58283</v>
      </c>
      <c r="AK28" s="225"/>
      <c r="AL28" s="225">
        <v>130311</v>
      </c>
      <c r="AM28" s="64"/>
      <c r="AN28" s="64"/>
      <c r="AO28" s="64"/>
      <c r="AP28" s="64"/>
      <c r="AQ28" s="64"/>
      <c r="AR28" s="64"/>
    </row>
    <row r="29" spans="1:44" s="227" customFormat="1" ht="19.5" customHeight="1">
      <c r="A29" s="223" t="s">
        <v>500</v>
      </c>
      <c r="B29" s="256" t="s">
        <v>502</v>
      </c>
      <c r="C29" s="225">
        <v>247974.541</v>
      </c>
      <c r="D29" s="225">
        <v>68467.457</v>
      </c>
      <c r="E29" s="225">
        <v>16271.747999999998</v>
      </c>
      <c r="F29" s="225">
        <v>19537.621000000003</v>
      </c>
      <c r="G29" s="257">
        <v>32164.605</v>
      </c>
      <c r="H29" s="257">
        <v>493.483</v>
      </c>
      <c r="I29" s="225">
        <v>9544.622000000001</v>
      </c>
      <c r="J29" s="225">
        <v>3475.153</v>
      </c>
      <c r="K29" s="225">
        <v>0</v>
      </c>
      <c r="L29" s="225">
        <v>6069.469000000001</v>
      </c>
      <c r="M29" s="225">
        <v>72391.424</v>
      </c>
      <c r="N29" s="225">
        <v>50349.612</v>
      </c>
      <c r="O29" s="225">
        <v>0</v>
      </c>
      <c r="P29" s="225">
        <v>10503.57</v>
      </c>
      <c r="Q29" s="225">
        <v>11538.242</v>
      </c>
      <c r="R29" s="225">
        <v>7990.99</v>
      </c>
      <c r="S29" s="225">
        <v>378.047</v>
      </c>
      <c r="T29" s="225">
        <v>6041.075</v>
      </c>
      <c r="U29" s="225">
        <v>1571.868</v>
      </c>
      <c r="V29" s="225">
        <v>0</v>
      </c>
      <c r="W29" s="223" t="s">
        <v>500</v>
      </c>
      <c r="X29" s="256" t="s">
        <v>502</v>
      </c>
      <c r="Y29" s="225">
        <v>18720.257</v>
      </c>
      <c r="Z29" s="225">
        <v>1923.946</v>
      </c>
      <c r="AA29" s="225">
        <v>16796.311</v>
      </c>
      <c r="AB29" s="225">
        <v>7363.818999999999</v>
      </c>
      <c r="AC29" s="225">
        <v>0</v>
      </c>
      <c r="AD29" s="225">
        <v>0</v>
      </c>
      <c r="AE29" s="225">
        <v>0</v>
      </c>
      <c r="AF29" s="225">
        <v>0</v>
      </c>
      <c r="AG29" s="225">
        <v>799.005</v>
      </c>
      <c r="AH29" s="225">
        <v>0</v>
      </c>
      <c r="AI29" s="225">
        <v>799.005</v>
      </c>
      <c r="AJ29" s="225">
        <v>62696.967</v>
      </c>
      <c r="AK29" s="225">
        <v>0</v>
      </c>
      <c r="AL29" s="225">
        <v>121129</v>
      </c>
      <c r="AM29" s="64"/>
      <c r="AN29" s="64"/>
      <c r="AO29" s="64"/>
      <c r="AP29" s="64"/>
      <c r="AQ29" s="64"/>
      <c r="AR29" s="64"/>
    </row>
    <row r="30" spans="1:44" s="227" customFormat="1" ht="19.5" customHeight="1">
      <c r="A30" s="223" t="s">
        <v>507</v>
      </c>
      <c r="B30" s="256" t="s">
        <v>505</v>
      </c>
      <c r="C30" s="225">
        <v>258355</v>
      </c>
      <c r="D30" s="225">
        <v>62727</v>
      </c>
      <c r="E30" s="225">
        <v>15615</v>
      </c>
      <c r="F30" s="225">
        <v>20654</v>
      </c>
      <c r="G30" s="257">
        <v>26012</v>
      </c>
      <c r="H30" s="257">
        <v>447</v>
      </c>
      <c r="I30" s="225">
        <v>9425</v>
      </c>
      <c r="J30" s="225">
        <v>3475</v>
      </c>
      <c r="K30" s="225">
        <v>0</v>
      </c>
      <c r="L30" s="225">
        <v>5935</v>
      </c>
      <c r="M30" s="225">
        <v>85700</v>
      </c>
      <c r="N30" s="225">
        <v>54869</v>
      </c>
      <c r="O30" s="225">
        <v>0</v>
      </c>
      <c r="P30" s="225">
        <v>11356</v>
      </c>
      <c r="Q30" s="225">
        <v>19474</v>
      </c>
      <c r="R30" s="225">
        <v>7853</v>
      </c>
      <c r="S30" s="225">
        <v>385</v>
      </c>
      <c r="T30" s="225">
        <v>6132</v>
      </c>
      <c r="U30" s="225">
        <v>1336</v>
      </c>
      <c r="V30" s="225"/>
      <c r="W30" s="223" t="s">
        <v>507</v>
      </c>
      <c r="X30" s="256" t="s">
        <v>505</v>
      </c>
      <c r="Y30" s="225">
        <v>14850</v>
      </c>
      <c r="Z30" s="225">
        <v>2073</v>
      </c>
      <c r="AA30" s="225">
        <v>12507</v>
      </c>
      <c r="AB30" s="225">
        <v>7223</v>
      </c>
      <c r="AC30" s="225">
        <v>0</v>
      </c>
      <c r="AD30" s="225">
        <v>0</v>
      </c>
      <c r="AE30" s="225">
        <v>0</v>
      </c>
      <c r="AF30" s="225">
        <v>0</v>
      </c>
      <c r="AG30" s="225">
        <v>1946</v>
      </c>
      <c r="AH30" s="225">
        <v>0</v>
      </c>
      <c r="AI30" s="225">
        <v>1946</v>
      </c>
      <c r="AJ30" s="225">
        <v>68091</v>
      </c>
      <c r="AK30" s="225">
        <v>0</v>
      </c>
      <c r="AL30" s="225"/>
      <c r="AM30" s="64"/>
      <c r="AN30" s="64"/>
      <c r="AO30" s="64"/>
      <c r="AP30" s="64"/>
      <c r="AQ30" s="64"/>
      <c r="AR30" s="64"/>
    </row>
    <row r="31" spans="1:44" s="271" customFormat="1" ht="19.5" customHeight="1">
      <c r="A31" s="223" t="s">
        <v>543</v>
      </c>
      <c r="B31" s="256" t="s">
        <v>544</v>
      </c>
      <c r="C31" s="225">
        <f>SUM(D31,I31,M31,R31,Y31,AB31,AC31,AF31,AI31,AJ31,AK31)</f>
        <v>275992.439</v>
      </c>
      <c r="D31" s="225">
        <f>SUM(E31:H31)</f>
        <v>64139.596000000005</v>
      </c>
      <c r="E31" s="225">
        <f>SUM(E32:E43)</f>
        <v>17603.06</v>
      </c>
      <c r="F31" s="225">
        <f>SUM(F32:F43)</f>
        <v>22376.073999999997</v>
      </c>
      <c r="G31" s="257">
        <f>SUM(G32:G43)</f>
        <v>23684.84</v>
      </c>
      <c r="H31" s="225">
        <f>SUM(H32:H43)</f>
        <v>475.62200000000007</v>
      </c>
      <c r="I31" s="225">
        <f>SUM(J31:L31)</f>
        <v>13207.682999999999</v>
      </c>
      <c r="J31" s="225">
        <f>SUM(J32:J43)</f>
        <v>3532.435</v>
      </c>
      <c r="K31" s="225">
        <f>SUM(K32:K43)</f>
        <v>0</v>
      </c>
      <c r="L31" s="225">
        <f>SUM(L32:L43)</f>
        <v>9675.248</v>
      </c>
      <c r="M31" s="225">
        <f>SUM(N31:Q31)</f>
        <v>92694.266</v>
      </c>
      <c r="N31" s="225">
        <f>SUM(N32:N43)</f>
        <v>58976.807</v>
      </c>
      <c r="O31" s="225">
        <f>SUM(O32:O43)</f>
        <v>0</v>
      </c>
      <c r="P31" s="225">
        <f>SUM(P32:P43)</f>
        <v>19246.305999999997</v>
      </c>
      <c r="Q31" s="225">
        <f>SUM(Q32:Q43)</f>
        <v>14471.153</v>
      </c>
      <c r="R31" s="225">
        <f>SUM(S31:V31)</f>
        <v>15514.798999999999</v>
      </c>
      <c r="S31" s="225">
        <f>SUM(S32:S43)</f>
        <v>393.842</v>
      </c>
      <c r="T31" s="225">
        <f>SUM(T32:T43)</f>
        <v>13763.134999999998</v>
      </c>
      <c r="U31" s="225">
        <f>SUM(U32:U43)</f>
        <v>1357.8220000000001</v>
      </c>
      <c r="V31" s="225">
        <f>SUM(V32:V43)</f>
        <v>0</v>
      </c>
      <c r="W31" s="223" t="s">
        <v>543</v>
      </c>
      <c r="X31" s="256" t="s">
        <v>544</v>
      </c>
      <c r="Y31" s="225">
        <f>SUM(Z31:AA31)</f>
        <v>17850.578</v>
      </c>
      <c r="Z31" s="225">
        <f>SUM(Z32:Z43)</f>
        <v>2466.187</v>
      </c>
      <c r="AA31" s="225">
        <f>SUM(AA32:AA43)</f>
        <v>15384.391</v>
      </c>
      <c r="AB31" s="225">
        <f>SUM(AB32:AB43)</f>
        <v>6985.632</v>
      </c>
      <c r="AC31" s="225">
        <f>SUM(AD31:AE31)</f>
        <v>0</v>
      </c>
      <c r="AD31" s="225">
        <f>SUM(AD33:AD43)</f>
        <v>0</v>
      </c>
      <c r="AE31" s="225">
        <f>SUM(AE33:AE43)</f>
        <v>0</v>
      </c>
      <c r="AF31" s="225">
        <f>SUM(AF33:AF43)</f>
        <v>0</v>
      </c>
      <c r="AG31" s="225">
        <f>SUM(AH31:AI31)</f>
        <v>809.567</v>
      </c>
      <c r="AH31" s="225">
        <v>0</v>
      </c>
      <c r="AI31" s="225">
        <f>SUM(AI32:AI43)</f>
        <v>809.567</v>
      </c>
      <c r="AJ31" s="225">
        <f>SUM(AJ32:AJ43)</f>
        <v>64790.318</v>
      </c>
      <c r="AK31" s="225">
        <f>SUM(AK33:AK43)</f>
        <v>0</v>
      </c>
      <c r="AL31" s="225"/>
      <c r="AM31" s="270"/>
      <c r="AN31" s="270"/>
      <c r="AO31" s="270"/>
      <c r="AP31" s="270"/>
      <c r="AQ31" s="270"/>
      <c r="AR31" s="270"/>
    </row>
    <row r="32" spans="1:44" s="271" customFormat="1" ht="19.5" customHeight="1">
      <c r="A32" s="223" t="s">
        <v>530</v>
      </c>
      <c r="B32" s="224" t="s">
        <v>517</v>
      </c>
      <c r="C32" s="225">
        <f>SUM(D32,I32,M32,R32,Y32,AB32,AC32,AF32,AI32,AJ32,AK32)</f>
        <v>41868.121</v>
      </c>
      <c r="D32" s="225">
        <f>SUM(E32:H32)</f>
        <v>15779.185</v>
      </c>
      <c r="E32" s="225">
        <v>10283.723</v>
      </c>
      <c r="F32" s="225">
        <v>2531.872</v>
      </c>
      <c r="G32" s="225">
        <v>2896.448</v>
      </c>
      <c r="H32" s="225">
        <v>67.142</v>
      </c>
      <c r="I32" s="225">
        <f>SUM(J32:L32)</f>
        <v>999.753</v>
      </c>
      <c r="J32" s="225">
        <v>168.039</v>
      </c>
      <c r="K32" s="226">
        <v>0</v>
      </c>
      <c r="L32" s="225">
        <v>831.714</v>
      </c>
      <c r="M32" s="225">
        <f>SUM(N32:Q32)</f>
        <v>3646.9220000000005</v>
      </c>
      <c r="N32" s="225">
        <v>1209.655</v>
      </c>
      <c r="O32" s="225">
        <v>0</v>
      </c>
      <c r="P32" s="225">
        <v>1283.319</v>
      </c>
      <c r="Q32" s="225">
        <v>1153.948</v>
      </c>
      <c r="R32" s="225">
        <f>SUM(S32:V32)</f>
        <v>8064.803</v>
      </c>
      <c r="S32" s="225">
        <v>67.142</v>
      </c>
      <c r="T32" s="225">
        <v>7997.661</v>
      </c>
      <c r="U32" s="225">
        <v>0</v>
      </c>
      <c r="V32" s="225">
        <v>0</v>
      </c>
      <c r="W32" s="223" t="s">
        <v>530</v>
      </c>
      <c r="X32" s="224" t="s">
        <v>517</v>
      </c>
      <c r="Y32" s="225">
        <f>SUM(Z32:AA32)</f>
        <v>1721.969</v>
      </c>
      <c r="Z32" s="225">
        <v>0.193</v>
      </c>
      <c r="AA32" s="225">
        <v>1721.776</v>
      </c>
      <c r="AB32" s="225">
        <v>1556.7</v>
      </c>
      <c r="AC32" s="225">
        <v>0</v>
      </c>
      <c r="AD32" s="226">
        <v>0</v>
      </c>
      <c r="AE32" s="225">
        <v>0</v>
      </c>
      <c r="AF32" s="225">
        <v>0</v>
      </c>
      <c r="AG32" s="225">
        <f>SUM(AH32:AI32)</f>
        <v>0</v>
      </c>
      <c r="AH32" s="225"/>
      <c r="AI32" s="225"/>
      <c r="AJ32" s="225">
        <v>10098.789</v>
      </c>
      <c r="AK32" s="225"/>
      <c r="AL32" s="225">
        <v>101295.274</v>
      </c>
      <c r="AM32" s="270"/>
      <c r="AN32" s="270"/>
      <c r="AO32" s="270"/>
      <c r="AP32" s="270"/>
      <c r="AQ32" s="270"/>
      <c r="AR32" s="270"/>
    </row>
    <row r="33" spans="1:44" s="227" customFormat="1" ht="19.5" customHeight="1">
      <c r="A33" s="223" t="s">
        <v>531</v>
      </c>
      <c r="B33" s="224" t="s">
        <v>532</v>
      </c>
      <c r="C33" s="225">
        <f>SUM(D33,I33,M33,R33,Y33,AB33,AC33,AF33,AI33,AJ33,AK33)</f>
        <v>10575.061</v>
      </c>
      <c r="D33" s="225">
        <f aca="true" t="shared" si="13" ref="D33:D43">SUM(E33:H33)</f>
        <v>2709.411</v>
      </c>
      <c r="E33" s="225">
        <v>0</v>
      </c>
      <c r="F33" s="225">
        <v>1615.753</v>
      </c>
      <c r="G33" s="225">
        <v>1055.494</v>
      </c>
      <c r="H33" s="225">
        <v>38.164</v>
      </c>
      <c r="I33" s="225">
        <f aca="true" t="shared" si="14" ref="I33:I43">SUM(J33:L33)</f>
        <v>370.676</v>
      </c>
      <c r="J33" s="225">
        <v>5.928</v>
      </c>
      <c r="K33" s="226">
        <v>0</v>
      </c>
      <c r="L33" s="225">
        <v>364.748</v>
      </c>
      <c r="M33" s="225">
        <f aca="true" t="shared" si="15" ref="M33:M43">SUM(N33:Q33)</f>
        <v>1947.229</v>
      </c>
      <c r="N33" s="225">
        <v>873.163</v>
      </c>
      <c r="O33" s="225">
        <v>0</v>
      </c>
      <c r="P33" s="225">
        <v>453.912</v>
      </c>
      <c r="Q33" s="225">
        <v>620.154</v>
      </c>
      <c r="R33" s="225">
        <f aca="true" t="shared" si="16" ref="R33:R43">SUM(S33:V33)</f>
        <v>667.2139999999999</v>
      </c>
      <c r="S33" s="225">
        <v>30.996</v>
      </c>
      <c r="T33" s="225">
        <v>636.218</v>
      </c>
      <c r="U33" s="225">
        <v>0</v>
      </c>
      <c r="V33" s="225">
        <v>0</v>
      </c>
      <c r="W33" s="223" t="s">
        <v>533</v>
      </c>
      <c r="X33" s="224" t="s">
        <v>532</v>
      </c>
      <c r="Y33" s="225">
        <f aca="true" t="shared" si="17" ref="Y33:Y43">SUM(Z33:AA33)</f>
        <v>886.942</v>
      </c>
      <c r="Z33" s="225">
        <v>0</v>
      </c>
      <c r="AA33" s="225">
        <v>886.942</v>
      </c>
      <c r="AB33" s="225">
        <v>414.52</v>
      </c>
      <c r="AC33" s="225">
        <v>0</v>
      </c>
      <c r="AD33" s="226">
        <v>0</v>
      </c>
      <c r="AE33" s="225">
        <v>0</v>
      </c>
      <c r="AF33" s="225">
        <v>0</v>
      </c>
      <c r="AG33" s="225">
        <f aca="true" t="shared" si="18" ref="AG33:AG43">SUM(AH33:AI33)</f>
        <v>0</v>
      </c>
      <c r="AH33" s="225"/>
      <c r="AI33" s="225">
        <v>0</v>
      </c>
      <c r="AJ33" s="225">
        <v>3579.069</v>
      </c>
      <c r="AK33" s="225"/>
      <c r="AL33" s="225">
        <v>106332.199</v>
      </c>
      <c r="AM33" s="64"/>
      <c r="AN33" s="64"/>
      <c r="AO33" s="64"/>
      <c r="AP33" s="64"/>
      <c r="AQ33" s="64"/>
      <c r="AR33" s="64"/>
    </row>
    <row r="34" spans="1:44" s="227" customFormat="1" ht="19.5" customHeight="1">
      <c r="A34" s="223" t="s">
        <v>21</v>
      </c>
      <c r="B34" s="224" t="s">
        <v>534</v>
      </c>
      <c r="C34" s="225">
        <f aca="true" t="shared" si="19" ref="C34:C42">SUM(D34,I34,M34,R34,Y34,AB34,AC34,AF34,AI34,AJ34,AK34)</f>
        <v>14755.828999999998</v>
      </c>
      <c r="D34" s="225">
        <f t="shared" si="13"/>
        <v>4085.272</v>
      </c>
      <c r="E34" s="225"/>
      <c r="F34" s="225">
        <v>2058.131</v>
      </c>
      <c r="G34" s="225">
        <v>1992.987</v>
      </c>
      <c r="H34" s="225">
        <v>34.154</v>
      </c>
      <c r="I34" s="225">
        <f t="shared" si="14"/>
        <v>1108.998</v>
      </c>
      <c r="J34" s="225">
        <v>14.411</v>
      </c>
      <c r="K34" s="226">
        <v>0</v>
      </c>
      <c r="L34" s="225">
        <v>1094.587</v>
      </c>
      <c r="M34" s="225">
        <f t="shared" si="15"/>
        <v>2371.132</v>
      </c>
      <c r="N34" s="225">
        <v>996.76</v>
      </c>
      <c r="O34" s="225">
        <v>0</v>
      </c>
      <c r="P34" s="225">
        <v>727.588</v>
      </c>
      <c r="Q34" s="225">
        <v>646.784</v>
      </c>
      <c r="R34" s="225">
        <f t="shared" si="16"/>
        <v>823.134</v>
      </c>
      <c r="S34" s="225">
        <v>30.575</v>
      </c>
      <c r="T34" s="225">
        <v>779.819</v>
      </c>
      <c r="U34" s="225">
        <v>12.74</v>
      </c>
      <c r="V34" s="225">
        <v>0</v>
      </c>
      <c r="W34" s="223" t="s">
        <v>21</v>
      </c>
      <c r="X34" s="224" t="s">
        <v>534</v>
      </c>
      <c r="Y34" s="225">
        <f t="shared" si="17"/>
        <v>1565.157</v>
      </c>
      <c r="Z34" s="225">
        <v>98.011</v>
      </c>
      <c r="AA34" s="225">
        <v>1467.146</v>
      </c>
      <c r="AB34" s="225">
        <v>415.14</v>
      </c>
      <c r="AC34" s="225">
        <v>0</v>
      </c>
      <c r="AD34" s="226">
        <v>0</v>
      </c>
      <c r="AE34" s="225">
        <v>0</v>
      </c>
      <c r="AF34" s="225">
        <v>0</v>
      </c>
      <c r="AG34" s="225">
        <f t="shared" si="18"/>
        <v>75.6</v>
      </c>
      <c r="AH34" s="225"/>
      <c r="AI34" s="225">
        <v>75.6</v>
      </c>
      <c r="AJ34" s="225">
        <v>4311.396</v>
      </c>
      <c r="AK34" s="225"/>
      <c r="AL34" s="225">
        <v>124877.12</v>
      </c>
      <c r="AM34" s="64"/>
      <c r="AN34" s="64"/>
      <c r="AO34" s="64"/>
      <c r="AP34" s="64"/>
      <c r="AQ34" s="64"/>
      <c r="AR34" s="64"/>
    </row>
    <row r="35" spans="1:44" s="227" customFormat="1" ht="18.75" customHeight="1">
      <c r="A35" s="223" t="s">
        <v>22</v>
      </c>
      <c r="B35" s="224" t="s">
        <v>535</v>
      </c>
      <c r="C35" s="225">
        <f t="shared" si="19"/>
        <v>14133.775999999998</v>
      </c>
      <c r="D35" s="225">
        <f t="shared" si="13"/>
        <v>2972.711</v>
      </c>
      <c r="E35" s="225">
        <v>0</v>
      </c>
      <c r="F35" s="225">
        <v>1414.454</v>
      </c>
      <c r="G35" s="226">
        <v>1520.55</v>
      </c>
      <c r="H35" s="225">
        <v>37.707</v>
      </c>
      <c r="I35" s="225">
        <f t="shared" si="14"/>
        <v>992.904</v>
      </c>
      <c r="J35" s="225">
        <v>268.349</v>
      </c>
      <c r="K35" s="226">
        <v>0</v>
      </c>
      <c r="L35" s="225">
        <v>724.555</v>
      </c>
      <c r="M35" s="225">
        <f t="shared" si="15"/>
        <v>2316.632</v>
      </c>
      <c r="N35" s="225">
        <v>1269.622</v>
      </c>
      <c r="O35" s="225">
        <v>0</v>
      </c>
      <c r="P35" s="225">
        <v>428.827</v>
      </c>
      <c r="Q35" s="225">
        <v>618.183</v>
      </c>
      <c r="R35" s="225">
        <f t="shared" si="16"/>
        <v>503.06600000000003</v>
      </c>
      <c r="S35" s="225">
        <v>30.47</v>
      </c>
      <c r="T35" s="225">
        <v>421.496</v>
      </c>
      <c r="U35" s="225">
        <v>51.1</v>
      </c>
      <c r="V35" s="225">
        <v>0</v>
      </c>
      <c r="W35" s="223" t="s">
        <v>22</v>
      </c>
      <c r="X35" s="224" t="s">
        <v>535</v>
      </c>
      <c r="Y35" s="225">
        <f t="shared" si="17"/>
        <v>1006.158</v>
      </c>
      <c r="Z35" s="225">
        <v>14.801</v>
      </c>
      <c r="AA35" s="225">
        <v>991.357</v>
      </c>
      <c r="AB35" s="225">
        <v>827.036</v>
      </c>
      <c r="AC35" s="225">
        <v>0</v>
      </c>
      <c r="AD35" s="226">
        <v>0</v>
      </c>
      <c r="AE35" s="226">
        <v>0</v>
      </c>
      <c r="AF35" s="225">
        <v>0</v>
      </c>
      <c r="AG35" s="225">
        <f t="shared" si="18"/>
        <v>5.256</v>
      </c>
      <c r="AH35" s="225"/>
      <c r="AI35" s="225">
        <v>5.256</v>
      </c>
      <c r="AJ35" s="225">
        <v>5510.013</v>
      </c>
      <c r="AK35" s="225"/>
      <c r="AL35" s="225">
        <v>120782.966</v>
      </c>
      <c r="AM35" s="64"/>
      <c r="AN35" s="64"/>
      <c r="AO35" s="64"/>
      <c r="AP35" s="64"/>
      <c r="AQ35" s="64"/>
      <c r="AR35" s="64"/>
    </row>
    <row r="36" spans="1:44" s="227" customFormat="1" ht="18.75" customHeight="1">
      <c r="A36" s="223" t="s">
        <v>23</v>
      </c>
      <c r="B36" s="224" t="s">
        <v>536</v>
      </c>
      <c r="C36" s="225">
        <f t="shared" si="19"/>
        <v>18625.032</v>
      </c>
      <c r="D36" s="225">
        <f t="shared" si="13"/>
        <v>3433.758</v>
      </c>
      <c r="E36" s="225">
        <v>20</v>
      </c>
      <c r="F36" s="225">
        <v>1723.211</v>
      </c>
      <c r="G36" s="226">
        <v>1646.069</v>
      </c>
      <c r="H36" s="225">
        <v>44.478</v>
      </c>
      <c r="I36" s="225">
        <f t="shared" si="14"/>
        <v>1225.885</v>
      </c>
      <c r="J36" s="225">
        <v>145.4</v>
      </c>
      <c r="K36" s="226">
        <v>0</v>
      </c>
      <c r="L36" s="225">
        <v>1080.485</v>
      </c>
      <c r="M36" s="225">
        <f t="shared" si="15"/>
        <v>4586.240000000001</v>
      </c>
      <c r="N36" s="225">
        <v>2175.291</v>
      </c>
      <c r="O36" s="225">
        <v>0</v>
      </c>
      <c r="P36" s="225">
        <v>1175.707</v>
      </c>
      <c r="Q36" s="225">
        <v>1235.242</v>
      </c>
      <c r="R36" s="225">
        <f t="shared" si="16"/>
        <v>535.383</v>
      </c>
      <c r="S36" s="225">
        <v>30.996</v>
      </c>
      <c r="T36" s="225">
        <v>472.947</v>
      </c>
      <c r="U36" s="225">
        <v>31.44</v>
      </c>
      <c r="V36" s="225">
        <v>0</v>
      </c>
      <c r="W36" s="223" t="s">
        <v>23</v>
      </c>
      <c r="X36" s="224" t="s">
        <v>537</v>
      </c>
      <c r="Y36" s="225">
        <f t="shared" si="17"/>
        <v>1339.175</v>
      </c>
      <c r="Z36" s="225">
        <v>56.711</v>
      </c>
      <c r="AA36" s="225">
        <v>1282.464</v>
      </c>
      <c r="AB36" s="225">
        <v>827.036</v>
      </c>
      <c r="AC36" s="225">
        <v>0</v>
      </c>
      <c r="AD36" s="226">
        <v>0</v>
      </c>
      <c r="AE36" s="226">
        <v>0</v>
      </c>
      <c r="AF36" s="225">
        <v>0</v>
      </c>
      <c r="AG36" s="225">
        <f t="shared" si="18"/>
        <v>0</v>
      </c>
      <c r="AH36" s="225"/>
      <c r="AI36" s="225">
        <v>0</v>
      </c>
      <c r="AJ36" s="225">
        <v>6677.555</v>
      </c>
      <c r="AK36" s="225"/>
      <c r="AL36" s="225">
        <v>120607.24</v>
      </c>
      <c r="AM36" s="64"/>
      <c r="AN36" s="64"/>
      <c r="AO36" s="64"/>
      <c r="AP36" s="64"/>
      <c r="AQ36" s="64"/>
      <c r="AR36" s="64"/>
    </row>
    <row r="37" spans="1:44" s="227" customFormat="1" ht="18.75" customHeight="1">
      <c r="A37" s="223" t="s">
        <v>24</v>
      </c>
      <c r="B37" s="224" t="s">
        <v>538</v>
      </c>
      <c r="C37" s="225">
        <f t="shared" si="19"/>
        <v>14297.873</v>
      </c>
      <c r="D37" s="225">
        <f t="shared" si="13"/>
        <v>5053.837</v>
      </c>
      <c r="E37" s="225">
        <v>1251</v>
      </c>
      <c r="F37" s="225">
        <v>2383.059</v>
      </c>
      <c r="G37" s="226">
        <v>1381.31</v>
      </c>
      <c r="H37" s="225">
        <v>38.468</v>
      </c>
      <c r="I37" s="225">
        <f t="shared" si="14"/>
        <v>1864.018</v>
      </c>
      <c r="J37" s="225">
        <v>725.748</v>
      </c>
      <c r="K37" s="226">
        <v>0</v>
      </c>
      <c r="L37" s="225">
        <v>1138.27</v>
      </c>
      <c r="M37" s="225">
        <f t="shared" si="15"/>
        <v>2410.0660000000003</v>
      </c>
      <c r="N37" s="225">
        <v>1117.384</v>
      </c>
      <c r="O37" s="225">
        <v>0</v>
      </c>
      <c r="P37" s="225">
        <v>659.333</v>
      </c>
      <c r="Q37" s="225">
        <v>633.349</v>
      </c>
      <c r="R37" s="225">
        <f t="shared" si="16"/>
        <v>667.105</v>
      </c>
      <c r="S37" s="225">
        <v>29.313</v>
      </c>
      <c r="T37" s="225">
        <v>563.105</v>
      </c>
      <c r="U37" s="225">
        <v>74.687</v>
      </c>
      <c r="V37" s="225">
        <v>0</v>
      </c>
      <c r="W37" s="223" t="s">
        <v>24</v>
      </c>
      <c r="X37" s="224" t="s">
        <v>539</v>
      </c>
      <c r="Y37" s="225">
        <f t="shared" si="17"/>
        <v>1265.897</v>
      </c>
      <c r="Z37" s="225">
        <v>90.57</v>
      </c>
      <c r="AA37" s="225">
        <v>1175.327</v>
      </c>
      <c r="AB37" s="225">
        <v>835.262</v>
      </c>
      <c r="AC37" s="225">
        <v>0</v>
      </c>
      <c r="AD37" s="226">
        <v>0</v>
      </c>
      <c r="AE37" s="226">
        <v>0</v>
      </c>
      <c r="AF37" s="225">
        <v>0</v>
      </c>
      <c r="AG37" s="225">
        <f t="shared" si="18"/>
        <v>0</v>
      </c>
      <c r="AH37" s="225">
        <v>0</v>
      </c>
      <c r="AI37" s="225">
        <v>0</v>
      </c>
      <c r="AJ37" s="225">
        <v>2201.688</v>
      </c>
      <c r="AK37" s="225"/>
      <c r="AL37" s="225">
        <v>119161.635</v>
      </c>
      <c r="AM37" s="64"/>
      <c r="AN37" s="64"/>
      <c r="AO37" s="64"/>
      <c r="AP37" s="64"/>
      <c r="AQ37" s="64"/>
      <c r="AR37" s="64"/>
    </row>
    <row r="38" spans="1:44" s="227" customFormat="1" ht="18.75" customHeight="1">
      <c r="A38" s="228" t="s">
        <v>14</v>
      </c>
      <c r="B38" s="224" t="s">
        <v>540</v>
      </c>
      <c r="C38" s="225">
        <f t="shared" si="19"/>
        <v>31146.56</v>
      </c>
      <c r="D38" s="225">
        <f t="shared" si="13"/>
        <v>10537.247000000001</v>
      </c>
      <c r="E38" s="225">
        <v>7045.277</v>
      </c>
      <c r="F38" s="225">
        <v>1931.467</v>
      </c>
      <c r="G38" s="226">
        <v>1525.324</v>
      </c>
      <c r="H38" s="225">
        <v>35.179</v>
      </c>
      <c r="I38" s="225">
        <f t="shared" si="14"/>
        <v>990.572</v>
      </c>
      <c r="J38" s="225">
        <v>208.547</v>
      </c>
      <c r="K38" s="226">
        <v>0</v>
      </c>
      <c r="L38" s="225">
        <v>782.025</v>
      </c>
      <c r="M38" s="225">
        <f t="shared" si="15"/>
        <v>5269.058999999999</v>
      </c>
      <c r="N38" s="225">
        <v>1110.013</v>
      </c>
      <c r="O38" s="225">
        <v>0</v>
      </c>
      <c r="P38" s="225">
        <v>1762.923</v>
      </c>
      <c r="Q38" s="225">
        <v>2396.123</v>
      </c>
      <c r="R38" s="225">
        <f t="shared" si="16"/>
        <v>434.89799999999997</v>
      </c>
      <c r="S38" s="225">
        <v>29.102</v>
      </c>
      <c r="T38" s="225">
        <v>399.879</v>
      </c>
      <c r="U38" s="225">
        <v>5.917</v>
      </c>
      <c r="V38" s="225">
        <v>0</v>
      </c>
      <c r="W38" s="228" t="s">
        <v>14</v>
      </c>
      <c r="X38" s="224" t="s">
        <v>540</v>
      </c>
      <c r="Y38" s="225">
        <f t="shared" si="17"/>
        <v>2498.9900000000002</v>
      </c>
      <c r="Z38" s="225">
        <v>123.623</v>
      </c>
      <c r="AA38" s="225">
        <v>2375.367</v>
      </c>
      <c r="AB38" s="225">
        <v>422.767</v>
      </c>
      <c r="AC38" s="225"/>
      <c r="AD38" s="226">
        <v>0</v>
      </c>
      <c r="AE38" s="226">
        <v>0</v>
      </c>
      <c r="AF38" s="225">
        <v>0</v>
      </c>
      <c r="AG38" s="225">
        <f t="shared" si="18"/>
        <v>217.71</v>
      </c>
      <c r="AH38" s="225"/>
      <c r="AI38" s="225">
        <v>217.71</v>
      </c>
      <c r="AJ38" s="225">
        <v>10775.317</v>
      </c>
      <c r="AK38" s="225"/>
      <c r="AL38" s="225">
        <v>99754.081</v>
      </c>
      <c r="AM38" s="64"/>
      <c r="AN38" s="64"/>
      <c r="AO38" s="64"/>
      <c r="AP38" s="64"/>
      <c r="AQ38" s="64"/>
      <c r="AR38" s="64"/>
    </row>
    <row r="39" spans="1:44" s="227" customFormat="1" ht="18.75" customHeight="1">
      <c r="A39" s="223" t="s">
        <v>15</v>
      </c>
      <c r="B39" s="224" t="s">
        <v>541</v>
      </c>
      <c r="C39" s="225">
        <f t="shared" si="19"/>
        <v>11309.252</v>
      </c>
      <c r="D39" s="225">
        <f t="shared" si="13"/>
        <v>2844.043</v>
      </c>
      <c r="E39" s="225">
        <v>0</v>
      </c>
      <c r="F39" s="225">
        <v>1105.945</v>
      </c>
      <c r="G39" s="226">
        <v>1697.296</v>
      </c>
      <c r="H39" s="225">
        <v>40.802</v>
      </c>
      <c r="I39" s="225">
        <f t="shared" si="14"/>
        <v>1223.696</v>
      </c>
      <c r="J39" s="225">
        <v>203.247</v>
      </c>
      <c r="K39" s="226">
        <v>0</v>
      </c>
      <c r="L39" s="226">
        <v>1020.449</v>
      </c>
      <c r="M39" s="225">
        <f t="shared" si="15"/>
        <v>3400.638</v>
      </c>
      <c r="N39" s="225">
        <v>1470.394</v>
      </c>
      <c r="O39" s="225">
        <v>0</v>
      </c>
      <c r="P39" s="225">
        <v>599.347</v>
      </c>
      <c r="Q39" s="225">
        <v>1330.897</v>
      </c>
      <c r="R39" s="225">
        <f t="shared" si="16"/>
        <v>442.30699999999996</v>
      </c>
      <c r="S39" s="225">
        <v>28.787</v>
      </c>
      <c r="T39" s="225">
        <v>412.56</v>
      </c>
      <c r="U39" s="225">
        <v>0.96</v>
      </c>
      <c r="V39" s="225">
        <v>0</v>
      </c>
      <c r="W39" s="223" t="s">
        <v>15</v>
      </c>
      <c r="X39" s="224" t="s">
        <v>541</v>
      </c>
      <c r="Y39" s="225">
        <f t="shared" si="17"/>
        <v>1402.686</v>
      </c>
      <c r="Z39" s="225">
        <v>605.877</v>
      </c>
      <c r="AA39" s="225">
        <v>796.809</v>
      </c>
      <c r="AB39" s="225">
        <v>422.767</v>
      </c>
      <c r="AC39" s="225">
        <v>0</v>
      </c>
      <c r="AD39" s="226">
        <v>0</v>
      </c>
      <c r="AE39" s="226">
        <v>0</v>
      </c>
      <c r="AF39" s="225">
        <v>0</v>
      </c>
      <c r="AG39" s="225">
        <f t="shared" si="18"/>
        <v>173.85</v>
      </c>
      <c r="AH39" s="225"/>
      <c r="AI39" s="225">
        <v>173.85</v>
      </c>
      <c r="AJ39" s="225">
        <v>1399.265</v>
      </c>
      <c r="AK39" s="225"/>
      <c r="AL39" s="225">
        <v>106909.298</v>
      </c>
      <c r="AM39" s="64"/>
      <c r="AN39" s="64"/>
      <c r="AO39" s="64"/>
      <c r="AP39" s="64"/>
      <c r="AQ39" s="64"/>
      <c r="AR39" s="64"/>
    </row>
    <row r="40" spans="1:44" s="227" customFormat="1" ht="18.75" customHeight="1">
      <c r="A40" s="223" t="s">
        <v>16</v>
      </c>
      <c r="B40" s="224" t="s">
        <v>512</v>
      </c>
      <c r="C40" s="225">
        <f t="shared" si="19"/>
        <v>21844.693</v>
      </c>
      <c r="D40" s="225">
        <f t="shared" si="13"/>
        <v>3333.6899999999996</v>
      </c>
      <c r="E40" s="225">
        <v>0</v>
      </c>
      <c r="F40" s="225">
        <v>1454.524</v>
      </c>
      <c r="G40" s="226">
        <v>1847.47</v>
      </c>
      <c r="H40" s="225">
        <v>31.696</v>
      </c>
      <c r="I40" s="225">
        <f t="shared" si="14"/>
        <v>617.4689999999999</v>
      </c>
      <c r="J40" s="225">
        <v>190.641</v>
      </c>
      <c r="K40" s="226">
        <v>0</v>
      </c>
      <c r="L40" s="225">
        <v>426.828</v>
      </c>
      <c r="M40" s="225">
        <f t="shared" si="15"/>
        <v>2669.1479999999997</v>
      </c>
      <c r="N40" s="225">
        <v>1196.1</v>
      </c>
      <c r="O40" s="225">
        <v>0</v>
      </c>
      <c r="P40" s="225">
        <v>839.64</v>
      </c>
      <c r="Q40" s="225">
        <v>633.408</v>
      </c>
      <c r="R40" s="225">
        <f t="shared" si="16"/>
        <v>891.601</v>
      </c>
      <c r="S40" s="225">
        <v>28.892</v>
      </c>
      <c r="T40" s="225">
        <v>462.087</v>
      </c>
      <c r="U40" s="225">
        <v>400.622</v>
      </c>
      <c r="V40" s="225">
        <v>0</v>
      </c>
      <c r="W40" s="223" t="s">
        <v>542</v>
      </c>
      <c r="X40" s="224" t="s">
        <v>512</v>
      </c>
      <c r="Y40" s="225">
        <f t="shared" si="17"/>
        <v>1521.7910000000002</v>
      </c>
      <c r="Z40" s="225">
        <v>590.639</v>
      </c>
      <c r="AA40" s="225">
        <v>931.152</v>
      </c>
      <c r="AB40" s="225">
        <v>422.767</v>
      </c>
      <c r="AC40" s="225">
        <v>0</v>
      </c>
      <c r="AD40" s="226">
        <v>0</v>
      </c>
      <c r="AE40" s="226">
        <v>0</v>
      </c>
      <c r="AF40" s="225">
        <v>0</v>
      </c>
      <c r="AG40" s="225">
        <f t="shared" si="18"/>
        <v>89.9</v>
      </c>
      <c r="AH40" s="225"/>
      <c r="AI40" s="225">
        <v>89.9</v>
      </c>
      <c r="AJ40" s="225">
        <v>12298.327</v>
      </c>
      <c r="AK40" s="225"/>
      <c r="AL40" s="225">
        <v>113265.132</v>
      </c>
      <c r="AM40" s="64"/>
      <c r="AN40" s="64"/>
      <c r="AO40" s="64"/>
      <c r="AP40" s="64"/>
      <c r="AQ40" s="64"/>
      <c r="AR40" s="64"/>
    </row>
    <row r="41" spans="1:44" s="227" customFormat="1" ht="18.75" customHeight="1">
      <c r="A41" s="223" t="s">
        <v>17</v>
      </c>
      <c r="B41" s="224" t="s">
        <v>513</v>
      </c>
      <c r="C41" s="225">
        <f t="shared" si="19"/>
        <v>11383.822999999999</v>
      </c>
      <c r="D41" s="225">
        <f t="shared" si="13"/>
        <v>4145.406999999999</v>
      </c>
      <c r="E41" s="225">
        <v>0</v>
      </c>
      <c r="F41" s="225">
        <v>1396.866</v>
      </c>
      <c r="G41" s="226">
        <v>2714.302</v>
      </c>
      <c r="H41" s="225">
        <v>34.239</v>
      </c>
      <c r="I41" s="225">
        <f t="shared" si="14"/>
        <v>1071.942</v>
      </c>
      <c r="J41" s="225">
        <v>200.349</v>
      </c>
      <c r="K41" s="226">
        <v>0</v>
      </c>
      <c r="L41" s="225">
        <v>871.593</v>
      </c>
      <c r="M41" s="225">
        <f t="shared" si="15"/>
        <v>3697.763</v>
      </c>
      <c r="N41" s="225">
        <v>1373.002</v>
      </c>
      <c r="O41" s="225"/>
      <c r="P41" s="225">
        <v>1497.356</v>
      </c>
      <c r="Q41" s="225">
        <v>827.405</v>
      </c>
      <c r="R41" s="225">
        <f t="shared" si="16"/>
        <v>594.376</v>
      </c>
      <c r="S41" s="225">
        <v>30.154</v>
      </c>
      <c r="T41" s="225">
        <v>557.576</v>
      </c>
      <c r="U41" s="225">
        <v>6.646</v>
      </c>
      <c r="V41" s="225">
        <v>0</v>
      </c>
      <c r="W41" s="223" t="s">
        <v>17</v>
      </c>
      <c r="X41" s="224" t="s">
        <v>513</v>
      </c>
      <c r="Y41" s="225">
        <f t="shared" si="17"/>
        <v>1054.4099999999999</v>
      </c>
      <c r="Z41" s="225">
        <v>56.975</v>
      </c>
      <c r="AA41" s="225">
        <v>997.435</v>
      </c>
      <c r="AB41" s="225">
        <v>422.642</v>
      </c>
      <c r="AC41" s="225">
        <v>0</v>
      </c>
      <c r="AD41" s="226">
        <v>0</v>
      </c>
      <c r="AE41" s="226">
        <v>0</v>
      </c>
      <c r="AF41" s="225">
        <v>0</v>
      </c>
      <c r="AG41" s="225">
        <f t="shared" si="18"/>
        <v>0</v>
      </c>
      <c r="AH41" s="225"/>
      <c r="AI41" s="225">
        <v>0</v>
      </c>
      <c r="AJ41" s="225">
        <v>397.283</v>
      </c>
      <c r="AK41" s="225"/>
      <c r="AL41" s="225">
        <v>113954.192</v>
      </c>
      <c r="AM41" s="64"/>
      <c r="AN41" s="64"/>
      <c r="AO41" s="64"/>
      <c r="AP41" s="64"/>
      <c r="AQ41" s="64"/>
      <c r="AR41" s="64"/>
    </row>
    <row r="42" spans="1:44" s="227" customFormat="1" ht="18.75" customHeight="1">
      <c r="A42" s="223" t="s">
        <v>18</v>
      </c>
      <c r="B42" s="224" t="s">
        <v>514</v>
      </c>
      <c r="C42" s="225">
        <f t="shared" si="19"/>
        <v>18563.869</v>
      </c>
      <c r="D42" s="225">
        <f t="shared" si="13"/>
        <v>4326.275</v>
      </c>
      <c r="E42" s="225">
        <v>0</v>
      </c>
      <c r="F42" s="225">
        <v>2271.353</v>
      </c>
      <c r="G42" s="226">
        <v>2018.16</v>
      </c>
      <c r="H42" s="225">
        <v>36.762</v>
      </c>
      <c r="I42" s="225">
        <f t="shared" si="14"/>
        <v>1149.7359999999999</v>
      </c>
      <c r="J42" s="225">
        <v>731.265</v>
      </c>
      <c r="K42" s="226">
        <v>0</v>
      </c>
      <c r="L42" s="225">
        <v>418.471</v>
      </c>
      <c r="M42" s="225">
        <f t="shared" si="15"/>
        <v>7247.396999999999</v>
      </c>
      <c r="N42" s="225">
        <v>1340.377</v>
      </c>
      <c r="O42" s="225">
        <v>0</v>
      </c>
      <c r="P42" s="225">
        <v>5177.413</v>
      </c>
      <c r="Q42" s="225">
        <v>729.607</v>
      </c>
      <c r="R42" s="225">
        <f t="shared" si="16"/>
        <v>732.854</v>
      </c>
      <c r="S42" s="225">
        <v>27.892</v>
      </c>
      <c r="T42" s="225">
        <v>696.712</v>
      </c>
      <c r="U42" s="225">
        <v>8.25</v>
      </c>
      <c r="V42" s="225">
        <v>0</v>
      </c>
      <c r="W42" s="223" t="s">
        <v>18</v>
      </c>
      <c r="X42" s="224" t="s">
        <v>514</v>
      </c>
      <c r="Y42" s="225">
        <f t="shared" si="17"/>
        <v>1602.54</v>
      </c>
      <c r="Z42" s="225">
        <v>65.991</v>
      </c>
      <c r="AA42" s="225">
        <v>1536.549</v>
      </c>
      <c r="AB42" s="225">
        <v>418.995</v>
      </c>
      <c r="AC42" s="225">
        <v>0</v>
      </c>
      <c r="AD42" s="226">
        <v>0</v>
      </c>
      <c r="AE42" s="226">
        <v>0</v>
      </c>
      <c r="AF42" s="225">
        <v>0</v>
      </c>
      <c r="AG42" s="225">
        <f t="shared" si="18"/>
        <v>102.948</v>
      </c>
      <c r="AH42" s="225"/>
      <c r="AI42" s="225">
        <v>102.948</v>
      </c>
      <c r="AJ42" s="225">
        <v>2983.124</v>
      </c>
      <c r="AK42" s="225"/>
      <c r="AL42" s="225">
        <v>113571.685</v>
      </c>
      <c r="AM42" s="64"/>
      <c r="AN42" s="64"/>
      <c r="AO42" s="64"/>
      <c r="AP42" s="64"/>
      <c r="AQ42" s="64"/>
      <c r="AR42" s="64"/>
    </row>
    <row r="43" spans="1:44" s="227" customFormat="1" ht="18" customHeight="1">
      <c r="A43" s="223" t="s">
        <v>515</v>
      </c>
      <c r="B43" s="224" t="s">
        <v>516</v>
      </c>
      <c r="C43" s="225">
        <f>SUM(D43,I43,M43,R43,Y43,AB43,AC43,AF43,AI43,AJ43,AK43)</f>
        <v>67488.55</v>
      </c>
      <c r="D43" s="225">
        <f t="shared" si="13"/>
        <v>4918.76</v>
      </c>
      <c r="E43" s="225">
        <v>-996.94</v>
      </c>
      <c r="F43" s="225">
        <v>2489.439</v>
      </c>
      <c r="G43" s="225">
        <v>3389.43</v>
      </c>
      <c r="H43" s="225">
        <v>36.831</v>
      </c>
      <c r="I43" s="225">
        <f t="shared" si="14"/>
        <v>1592.034</v>
      </c>
      <c r="J43" s="225">
        <v>670.511</v>
      </c>
      <c r="K43" s="226">
        <v>0</v>
      </c>
      <c r="L43" s="225">
        <v>921.523</v>
      </c>
      <c r="M43" s="225">
        <f t="shared" si="15"/>
        <v>53132.04</v>
      </c>
      <c r="N43" s="225">
        <v>44845.046</v>
      </c>
      <c r="O43" s="225">
        <v>0</v>
      </c>
      <c r="P43" s="225">
        <v>4640.941</v>
      </c>
      <c r="Q43" s="225">
        <v>3646.053</v>
      </c>
      <c r="R43" s="225">
        <f t="shared" si="16"/>
        <v>1158.058</v>
      </c>
      <c r="S43" s="225">
        <v>29.523</v>
      </c>
      <c r="T43" s="225">
        <v>363.075</v>
      </c>
      <c r="U43" s="225">
        <v>765.46</v>
      </c>
      <c r="V43" s="225">
        <v>0</v>
      </c>
      <c r="W43" s="223" t="s">
        <v>515</v>
      </c>
      <c r="X43" s="224" t="s">
        <v>516</v>
      </c>
      <c r="Y43" s="225">
        <f t="shared" si="17"/>
        <v>1984.863</v>
      </c>
      <c r="Z43" s="225">
        <v>762.796</v>
      </c>
      <c r="AA43" s="225">
        <v>1222.067</v>
      </c>
      <c r="AB43" s="225">
        <v>0</v>
      </c>
      <c r="AC43" s="225">
        <v>0</v>
      </c>
      <c r="AD43" s="226">
        <v>0</v>
      </c>
      <c r="AE43" s="226">
        <v>0</v>
      </c>
      <c r="AF43" s="225">
        <v>0</v>
      </c>
      <c r="AG43" s="225">
        <f t="shared" si="18"/>
        <v>144.303</v>
      </c>
      <c r="AH43" s="225"/>
      <c r="AI43" s="225">
        <v>144.303</v>
      </c>
      <c r="AJ43" s="225">
        <v>4558.492</v>
      </c>
      <c r="AK43" s="225"/>
      <c r="AL43" s="225">
        <v>112684.877</v>
      </c>
      <c r="AM43" s="64"/>
      <c r="AN43" s="64"/>
      <c r="AO43" s="64"/>
      <c r="AP43" s="64"/>
      <c r="AQ43" s="64"/>
      <c r="AR43" s="64"/>
    </row>
    <row r="44" spans="1:38" ht="10.5" customHeight="1" thickBot="1">
      <c r="A44" s="53"/>
      <c r="B44" s="6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68"/>
      <c r="S44" s="68"/>
      <c r="T44" s="68"/>
      <c r="U44" s="68"/>
      <c r="V44" s="68"/>
      <c r="W44" s="53"/>
      <c r="X44" s="60"/>
      <c r="Y44" s="68"/>
      <c r="Z44" s="68"/>
      <c r="AA44" s="68"/>
      <c r="AB44" s="68"/>
      <c r="AC44" s="69"/>
      <c r="AD44" s="69"/>
      <c r="AE44" s="68"/>
      <c r="AF44" s="68"/>
      <c r="AG44" s="68"/>
      <c r="AH44" s="68"/>
      <c r="AI44" s="68"/>
      <c r="AJ44" s="68"/>
      <c r="AK44" s="68"/>
      <c r="AL44" s="68"/>
    </row>
    <row r="45" spans="1:38" ht="19.5" customHeight="1">
      <c r="A45" s="254" t="s">
        <v>434</v>
      </c>
      <c r="B45" s="38"/>
      <c r="C45" s="5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38" t="s">
        <v>434</v>
      </c>
      <c r="X45" s="38"/>
      <c r="Y45" s="40"/>
      <c r="Z45" s="47"/>
      <c r="AA45" s="47"/>
      <c r="AB45" s="47"/>
      <c r="AC45" s="70"/>
      <c r="AD45" s="47"/>
      <c r="AE45" s="47"/>
      <c r="AF45" s="40"/>
      <c r="AG45" s="40"/>
      <c r="AH45" s="40"/>
      <c r="AI45" s="47"/>
      <c r="AJ45" s="40"/>
      <c r="AK45" s="40"/>
      <c r="AL45" s="40"/>
    </row>
    <row r="46" spans="1:38" ht="19.5" customHeight="1">
      <c r="A46" s="71" t="s">
        <v>11</v>
      </c>
      <c r="B46" s="71"/>
      <c r="C46" s="5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71" t="s">
        <v>11</v>
      </c>
      <c r="X46" s="71"/>
      <c r="Y46" s="40"/>
      <c r="Z46" s="47"/>
      <c r="AA46" s="47"/>
      <c r="AB46" s="47"/>
      <c r="AC46" s="70"/>
      <c r="AD46" s="47"/>
      <c r="AE46" s="47"/>
      <c r="AF46" s="40"/>
      <c r="AG46" s="40"/>
      <c r="AH46" s="40"/>
      <c r="AI46" s="47"/>
      <c r="AJ46" s="40"/>
      <c r="AK46" s="40"/>
      <c r="AL46" s="40"/>
    </row>
    <row r="47" spans="1:38" ht="19.5" customHeight="1">
      <c r="A47" s="72"/>
      <c r="B47" s="72"/>
      <c r="C47" s="73"/>
      <c r="W47" s="72"/>
      <c r="X47" s="72"/>
      <c r="Y47" s="74"/>
      <c r="AC47" s="75"/>
      <c r="AF47" s="74"/>
      <c r="AG47" s="74"/>
      <c r="AH47" s="74"/>
      <c r="AJ47" s="74"/>
      <c r="AK47" s="74"/>
      <c r="AL47" s="74"/>
    </row>
    <row r="48" spans="1:38" ht="19.5" customHeight="1">
      <c r="A48" s="72"/>
      <c r="B48" s="72"/>
      <c r="C48" s="73"/>
      <c r="W48" s="72"/>
      <c r="X48" s="72"/>
      <c r="Y48" s="74"/>
      <c r="AC48" s="75"/>
      <c r="AF48" s="74"/>
      <c r="AG48" s="74"/>
      <c r="AH48" s="74"/>
      <c r="AJ48" s="74"/>
      <c r="AK48" s="74"/>
      <c r="AL48" s="74"/>
    </row>
    <row r="49" spans="1:38" ht="19.5" customHeight="1">
      <c r="A49" s="72"/>
      <c r="B49" s="72"/>
      <c r="C49" s="73"/>
      <c r="W49" s="72"/>
      <c r="X49" s="72"/>
      <c r="Y49" s="74"/>
      <c r="AC49" s="75"/>
      <c r="AF49" s="74"/>
      <c r="AG49" s="74"/>
      <c r="AH49" s="74"/>
      <c r="AJ49" s="74"/>
      <c r="AK49" s="74"/>
      <c r="AL49" s="74"/>
    </row>
    <row r="50" spans="1:38" ht="19.5" customHeight="1">
      <c r="A50" s="72"/>
      <c r="B50" s="72"/>
      <c r="C50" s="73"/>
      <c r="W50" s="72"/>
      <c r="X50" s="72"/>
      <c r="Y50" s="74"/>
      <c r="AC50" s="75"/>
      <c r="AF50" s="74"/>
      <c r="AG50" s="74"/>
      <c r="AH50" s="74"/>
      <c r="AJ50" s="74"/>
      <c r="AK50" s="74"/>
      <c r="AL50" s="74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spans="1:24" ht="19.5" customHeight="1">
      <c r="A112" s="76"/>
      <c r="B112" s="76"/>
      <c r="C112" s="73"/>
      <c r="W112" s="76"/>
      <c r="X112" s="76"/>
    </row>
    <row r="113" spans="1:24" ht="19.5" customHeight="1">
      <c r="A113" s="76"/>
      <c r="B113" s="76"/>
      <c r="C113" s="73"/>
      <c r="W113" s="76"/>
      <c r="X113" s="76"/>
    </row>
    <row r="114" spans="1:24" ht="19.5" customHeight="1">
      <c r="A114" s="76"/>
      <c r="B114" s="76"/>
      <c r="C114" s="73"/>
      <c r="W114" s="76"/>
      <c r="X114" s="76"/>
    </row>
    <row r="115" spans="1:24" ht="19.5" customHeight="1">
      <c r="A115" s="76"/>
      <c r="B115" s="76"/>
      <c r="C115" s="73"/>
      <c r="W115" s="76"/>
      <c r="X115" s="76"/>
    </row>
    <row r="116" spans="1:24" ht="19.5" customHeight="1">
      <c r="A116" s="76"/>
      <c r="B116" s="76"/>
      <c r="C116" s="73"/>
      <c r="W116" s="76"/>
      <c r="X116" s="76"/>
    </row>
    <row r="117" spans="1:24" ht="19.5" customHeight="1">
      <c r="A117" s="76"/>
      <c r="B117" s="76"/>
      <c r="C117" s="73"/>
      <c r="W117" s="76"/>
      <c r="X117" s="76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</sheetData>
  <sheetProtection/>
  <mergeCells count="30">
    <mergeCell ref="AF6:AF8"/>
    <mergeCell ref="AG7:AI7"/>
    <mergeCell ref="Y6:AA6"/>
    <mergeCell ref="AC6:AE6"/>
    <mergeCell ref="AC7:AE7"/>
    <mergeCell ref="AB6:AB8"/>
    <mergeCell ref="Y7:AA7"/>
    <mergeCell ref="M7:Q7"/>
    <mergeCell ref="R7:V7"/>
    <mergeCell ref="W5:X7"/>
    <mergeCell ref="W8:X9"/>
    <mergeCell ref="M6:Q6"/>
    <mergeCell ref="R6:V6"/>
    <mergeCell ref="D7:H7"/>
    <mergeCell ref="I7:L7"/>
    <mergeCell ref="A8:B9"/>
    <mergeCell ref="A5:B7"/>
    <mergeCell ref="C5:C8"/>
    <mergeCell ref="D6:H6"/>
    <mergeCell ref="I6:L6"/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zoomScale="115" zoomScaleNormal="115" zoomScalePageLayoutView="0" workbookViewId="0" topLeftCell="A1">
      <pane ySplit="6" topLeftCell="A68" activePane="bottomLeft" state="frozen"/>
      <selection pane="topLeft" activeCell="A1" sqref="A1"/>
      <selection pane="bottomLeft" activeCell="B38" sqref="B38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6.5">
      <c r="A1" s="3" t="s">
        <v>426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304" t="s">
        <v>427</v>
      </c>
      <c r="O1" s="304"/>
    </row>
    <row r="2" spans="1:15" ht="26.25" customHeight="1">
      <c r="A2" s="81" t="s">
        <v>452</v>
      </c>
      <c r="B2" s="82"/>
      <c r="C2" s="83"/>
      <c r="D2" s="83"/>
      <c r="E2" s="83"/>
      <c r="F2" s="83"/>
      <c r="G2" s="83"/>
      <c r="H2" s="84"/>
      <c r="I2" s="186" t="s">
        <v>453</v>
      </c>
      <c r="J2" s="83"/>
      <c r="K2" s="83"/>
      <c r="L2" s="83"/>
      <c r="M2" s="83"/>
      <c r="N2" s="83"/>
      <c r="O2" s="85"/>
    </row>
    <row r="3" spans="1:35" ht="15" customHeight="1">
      <c r="A3" s="86" t="s">
        <v>196</v>
      </c>
      <c r="B3" s="82"/>
      <c r="C3" s="83"/>
      <c r="D3" s="83"/>
      <c r="E3" s="83"/>
      <c r="F3" s="83"/>
      <c r="G3" s="83"/>
      <c r="H3" s="84"/>
      <c r="I3" s="86" t="s">
        <v>197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185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102</v>
      </c>
    </row>
    <row r="5" spans="1:15" ht="27" customHeight="1">
      <c r="A5" s="176" t="s">
        <v>175</v>
      </c>
      <c r="B5" s="177"/>
      <c r="C5" s="180" t="s">
        <v>176</v>
      </c>
      <c r="D5" s="180" t="s">
        <v>177</v>
      </c>
      <c r="E5" s="180" t="s">
        <v>178</v>
      </c>
      <c r="F5" s="180" t="s">
        <v>179</v>
      </c>
      <c r="G5" s="180" t="s">
        <v>180</v>
      </c>
      <c r="H5" s="180" t="s">
        <v>85</v>
      </c>
      <c r="I5" s="179" t="s">
        <v>182</v>
      </c>
      <c r="J5" s="180" t="s">
        <v>371</v>
      </c>
      <c r="K5" s="179" t="s">
        <v>198</v>
      </c>
      <c r="L5" s="179" t="s">
        <v>372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186</v>
      </c>
      <c r="B6" s="123"/>
      <c r="C6" s="182" t="s">
        <v>187</v>
      </c>
      <c r="D6" s="183" t="s">
        <v>188</v>
      </c>
      <c r="E6" s="183" t="s">
        <v>189</v>
      </c>
      <c r="F6" s="183" t="s">
        <v>190</v>
      </c>
      <c r="G6" s="183" t="s">
        <v>191</v>
      </c>
      <c r="H6" s="128"/>
      <c r="I6" s="183" t="s">
        <v>192</v>
      </c>
      <c r="J6" s="183" t="s">
        <v>193</v>
      </c>
      <c r="K6" s="183" t="s">
        <v>194</v>
      </c>
      <c r="L6" s="183" t="s">
        <v>195</v>
      </c>
      <c r="M6" s="182" t="s">
        <v>167</v>
      </c>
      <c r="N6" s="174"/>
      <c r="O6" s="175"/>
    </row>
    <row r="7" spans="1:15" ht="15" customHeight="1" hidden="1">
      <c r="A7" s="88" t="s">
        <v>304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8" t="s">
        <v>199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95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8" t="s">
        <v>200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305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 hidden="1">
      <c r="A12" s="88"/>
      <c r="B12" s="158" t="s">
        <v>199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 hidden="1">
      <c r="A13" s="209" t="s">
        <v>96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 hidden="1">
      <c r="A14" s="88"/>
      <c r="B14" s="188" t="s">
        <v>200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301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 hidden="1">
      <c r="A16" s="88"/>
      <c r="B16" s="158" t="s">
        <v>199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 hidden="1">
      <c r="A17" s="209" t="s">
        <v>306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 hidden="1">
      <c r="A18" s="88"/>
      <c r="B18" s="188" t="s">
        <v>200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 hidden="1">
      <c r="A19" s="88" t="s">
        <v>302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 hidden="1">
      <c r="A20" s="88"/>
      <c r="B20" s="158" t="s">
        <v>199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 hidden="1">
      <c r="A21" s="138" t="s">
        <v>307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 hidden="1">
      <c r="A22" s="76"/>
      <c r="B22" s="188" t="s">
        <v>200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 hidden="1">
      <c r="A23" s="187" t="s">
        <v>308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 hidden="1">
      <c r="A24" s="187" t="s">
        <v>309</v>
      </c>
      <c r="B24" s="158" t="s">
        <v>199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 hidden="1">
      <c r="A25" s="210" t="s">
        <v>310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 hidden="1">
      <c r="A26" s="91"/>
      <c r="B26" s="188" t="s">
        <v>200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 hidden="1">
      <c r="A27" s="88" t="s">
        <v>303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 hidden="1">
      <c r="A28" s="88"/>
      <c r="B28" s="158" t="s">
        <v>199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 hidden="1">
      <c r="A29" s="211" t="s">
        <v>311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 hidden="1">
      <c r="A30" s="92"/>
      <c r="B30" s="188" t="s">
        <v>200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 hidden="1">
      <c r="A31" s="88" t="s">
        <v>312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 hidden="1">
      <c r="A32" s="88"/>
      <c r="B32" s="158" t="s">
        <v>199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 hidden="1">
      <c r="A33" s="209" t="s">
        <v>313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 hidden="1">
      <c r="A34" s="88"/>
      <c r="B34" s="188" t="s">
        <v>200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314</v>
      </c>
      <c r="B35" s="59" t="s">
        <v>52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8" t="s">
        <v>199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09" t="s">
        <v>315</v>
      </c>
      <c r="B37" s="59" t="s">
        <v>53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8" t="s">
        <v>200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316</v>
      </c>
      <c r="B39" s="59" t="s">
        <v>52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8" t="s">
        <v>199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09" t="s">
        <v>317</v>
      </c>
      <c r="B41" s="59" t="s">
        <v>53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8" t="s">
        <v>200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318</v>
      </c>
      <c r="B43" s="59" t="s">
        <v>52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8" t="s">
        <v>199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2">
        <v>2005</v>
      </c>
      <c r="B45" s="59" t="s">
        <v>53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8" t="s">
        <v>200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376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8" t="s">
        <v>199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8" t="s">
        <v>375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8" t="s">
        <v>200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15" customHeight="1">
      <c r="A51" s="88" t="s">
        <v>382</v>
      </c>
      <c r="B51" s="59" t="s">
        <v>27</v>
      </c>
      <c r="C51" s="25">
        <f>SUM(D51:M51)</f>
        <v>98278</v>
      </c>
      <c r="D51" s="26">
        <v>79145</v>
      </c>
      <c r="E51" s="1">
        <v>0</v>
      </c>
      <c r="F51" s="77">
        <v>100</v>
      </c>
      <c r="G51" s="26">
        <v>695</v>
      </c>
      <c r="H51" s="1">
        <v>0</v>
      </c>
      <c r="I51" s="26">
        <v>1014</v>
      </c>
      <c r="J51" s="1">
        <v>0</v>
      </c>
      <c r="K51" s="26">
        <v>16225</v>
      </c>
      <c r="L51" s="1">
        <v>0</v>
      </c>
      <c r="M51" s="26">
        <v>1099</v>
      </c>
      <c r="N51" s="1">
        <v>0</v>
      </c>
      <c r="O51" s="1">
        <v>0</v>
      </c>
    </row>
    <row r="52" spans="1:15" ht="15" customHeight="1">
      <c r="A52" s="88"/>
      <c r="B52" s="158" t="s">
        <v>199</v>
      </c>
      <c r="C52" s="25"/>
      <c r="D52" s="26"/>
      <c r="E52" s="1"/>
      <c r="F52" s="1"/>
      <c r="G52" s="26"/>
      <c r="H52" s="1"/>
      <c r="I52" s="26"/>
      <c r="J52" s="1"/>
      <c r="K52" s="26"/>
      <c r="L52" s="1"/>
      <c r="M52" s="26"/>
      <c r="N52" s="1"/>
      <c r="O52" s="1"/>
    </row>
    <row r="53" spans="1:15" ht="15" customHeight="1">
      <c r="A53" s="138" t="s">
        <v>381</v>
      </c>
      <c r="B53" s="89" t="s">
        <v>4</v>
      </c>
      <c r="C53" s="25">
        <f>SUM(D53:M53)</f>
        <v>129184</v>
      </c>
      <c r="D53" s="26">
        <v>79456</v>
      </c>
      <c r="E53" s="1">
        <v>0</v>
      </c>
      <c r="F53" s="77">
        <v>100</v>
      </c>
      <c r="G53" s="26">
        <v>695</v>
      </c>
      <c r="H53" s="1">
        <v>0</v>
      </c>
      <c r="I53" s="26">
        <v>1014</v>
      </c>
      <c r="J53" s="1">
        <v>0</v>
      </c>
      <c r="K53" s="26">
        <v>46790</v>
      </c>
      <c r="L53" s="1">
        <v>0</v>
      </c>
      <c r="M53" s="26">
        <v>1129</v>
      </c>
      <c r="N53" s="1">
        <v>0</v>
      </c>
      <c r="O53" s="1">
        <v>0</v>
      </c>
    </row>
    <row r="54" spans="1:15" ht="15" customHeight="1">
      <c r="A54" s="76"/>
      <c r="B54" s="188" t="s">
        <v>200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15" customHeight="1">
      <c r="A55" s="88" t="s">
        <v>383</v>
      </c>
      <c r="B55" s="59" t="s">
        <v>27</v>
      </c>
      <c r="C55" s="25">
        <f>SUM(D55:M55)</f>
        <v>96943</v>
      </c>
      <c r="D55" s="26">
        <v>77905</v>
      </c>
      <c r="E55" s="1">
        <v>0</v>
      </c>
      <c r="F55" s="77">
        <v>101</v>
      </c>
      <c r="G55" s="26">
        <v>825</v>
      </c>
      <c r="H55" s="1">
        <v>0</v>
      </c>
      <c r="I55" s="26">
        <v>984</v>
      </c>
      <c r="J55" s="1">
        <v>0</v>
      </c>
      <c r="K55" s="26">
        <v>16046</v>
      </c>
      <c r="L55" s="1">
        <v>0</v>
      </c>
      <c r="M55" s="26">
        <v>1082</v>
      </c>
      <c r="N55" s="1">
        <v>0</v>
      </c>
      <c r="O55" s="1">
        <v>0</v>
      </c>
    </row>
    <row r="56" spans="1:15" ht="15" customHeight="1">
      <c r="A56" s="88"/>
      <c r="B56" s="158" t="s">
        <v>199</v>
      </c>
      <c r="C56" s="25"/>
      <c r="D56" s="26"/>
      <c r="E56" s="1"/>
      <c r="F56" s="1"/>
      <c r="G56" s="26"/>
      <c r="H56" s="1"/>
      <c r="I56" s="26"/>
      <c r="J56" s="1"/>
      <c r="K56" s="26"/>
      <c r="L56" s="1"/>
      <c r="M56" s="26"/>
      <c r="N56" s="1"/>
      <c r="O56" s="1"/>
    </row>
    <row r="57" spans="1:15" ht="15" customHeight="1">
      <c r="A57" s="138" t="s">
        <v>384</v>
      </c>
      <c r="B57" s="89" t="s">
        <v>4</v>
      </c>
      <c r="C57" s="25">
        <f>SUM(D57:M57)</f>
        <v>131510</v>
      </c>
      <c r="D57" s="26">
        <v>78923</v>
      </c>
      <c r="E57" s="1">
        <v>0</v>
      </c>
      <c r="F57" s="77">
        <v>101</v>
      </c>
      <c r="G57" s="26">
        <v>1925</v>
      </c>
      <c r="H57" s="1">
        <v>0</v>
      </c>
      <c r="I57" s="26">
        <v>1284</v>
      </c>
      <c r="J57" s="1">
        <v>0</v>
      </c>
      <c r="K57" s="26">
        <v>47295</v>
      </c>
      <c r="L57" s="1">
        <v>0</v>
      </c>
      <c r="M57" s="26">
        <v>1982</v>
      </c>
      <c r="N57" s="1">
        <v>0</v>
      </c>
      <c r="O57" s="1">
        <v>0</v>
      </c>
    </row>
    <row r="58" spans="1:15" ht="15" customHeight="1">
      <c r="A58" s="76"/>
      <c r="B58" s="188" t="s">
        <v>200</v>
      </c>
      <c r="C58" s="25"/>
      <c r="D58" s="26"/>
      <c r="E58" s="1"/>
      <c r="F58" s="1"/>
      <c r="G58" s="26"/>
      <c r="H58" s="1"/>
      <c r="I58" s="26"/>
      <c r="J58" s="1"/>
      <c r="K58" s="26"/>
      <c r="L58" s="1"/>
      <c r="M58" s="26"/>
      <c r="N58" s="1"/>
      <c r="O58" s="1"/>
    </row>
    <row r="59" spans="1:15" ht="15" customHeight="1">
      <c r="A59" s="88" t="s">
        <v>386</v>
      </c>
      <c r="B59" s="59" t="s">
        <v>27</v>
      </c>
      <c r="C59" s="25">
        <f>SUM(D59:M59)</f>
        <v>102819</v>
      </c>
      <c r="D59" s="26">
        <v>83667</v>
      </c>
      <c r="E59" s="1">
        <v>0</v>
      </c>
      <c r="F59" s="77">
        <v>151</v>
      </c>
      <c r="G59" s="26">
        <v>822</v>
      </c>
      <c r="H59" s="1">
        <v>0</v>
      </c>
      <c r="I59" s="26">
        <v>1048</v>
      </c>
      <c r="J59" s="1">
        <v>0</v>
      </c>
      <c r="K59" s="26">
        <v>16181</v>
      </c>
      <c r="L59" s="1">
        <v>0</v>
      </c>
      <c r="M59" s="26">
        <v>950</v>
      </c>
      <c r="N59" s="1">
        <v>0</v>
      </c>
      <c r="O59" s="1">
        <v>0</v>
      </c>
    </row>
    <row r="60" spans="1:15" ht="15" customHeight="1">
      <c r="A60" s="88"/>
      <c r="B60" s="158" t="s">
        <v>199</v>
      </c>
      <c r="C60" s="25"/>
      <c r="D60" s="26"/>
      <c r="E60" s="1"/>
      <c r="F60" s="1"/>
      <c r="G60" s="26"/>
      <c r="H60" s="1"/>
      <c r="I60" s="26"/>
      <c r="J60" s="1"/>
      <c r="K60" s="26"/>
      <c r="L60" s="1"/>
      <c r="M60" s="26"/>
      <c r="N60" s="1"/>
      <c r="O60" s="1"/>
    </row>
    <row r="61" spans="1:15" ht="15" customHeight="1">
      <c r="A61" s="138" t="s">
        <v>387</v>
      </c>
      <c r="B61" s="89" t="s">
        <v>4</v>
      </c>
      <c r="C61" s="25">
        <f>SUM(D61:M61)</f>
        <v>102819</v>
      </c>
      <c r="D61" s="26">
        <v>83667</v>
      </c>
      <c r="E61" s="1">
        <v>0</v>
      </c>
      <c r="F61" s="77">
        <v>151</v>
      </c>
      <c r="G61" s="26">
        <v>822</v>
      </c>
      <c r="H61" s="1">
        <v>0</v>
      </c>
      <c r="I61" s="26">
        <v>1048</v>
      </c>
      <c r="J61" s="1">
        <v>0</v>
      </c>
      <c r="K61" s="26">
        <v>16181</v>
      </c>
      <c r="L61" s="1">
        <v>0</v>
      </c>
      <c r="M61" s="26">
        <v>950</v>
      </c>
      <c r="N61" s="1">
        <v>0</v>
      </c>
      <c r="O61" s="1">
        <v>0</v>
      </c>
    </row>
    <row r="62" spans="1:15" ht="15" customHeight="1">
      <c r="A62" s="76"/>
      <c r="B62" s="188" t="s">
        <v>200</v>
      </c>
      <c r="C62" s="25"/>
      <c r="D62" s="26"/>
      <c r="E62" s="1"/>
      <c r="F62" s="1"/>
      <c r="G62" s="26"/>
      <c r="H62" s="1"/>
      <c r="I62" s="26"/>
      <c r="J62" s="1"/>
      <c r="K62" s="26"/>
      <c r="L62" s="1"/>
      <c r="M62" s="26"/>
      <c r="N62" s="1"/>
      <c r="O62" s="1"/>
    </row>
    <row r="63" spans="1:15" ht="15" customHeight="1">
      <c r="A63" s="88" t="s">
        <v>393</v>
      </c>
      <c r="B63" s="59" t="s">
        <v>27</v>
      </c>
      <c r="C63" s="25">
        <f>SUM(D63:M63)</f>
        <v>93988</v>
      </c>
      <c r="D63" s="26">
        <v>73491</v>
      </c>
      <c r="E63" s="1">
        <v>0</v>
      </c>
      <c r="F63" s="77">
        <v>151</v>
      </c>
      <c r="G63" s="26">
        <v>866</v>
      </c>
      <c r="H63" s="1">
        <v>0</v>
      </c>
      <c r="I63" s="26">
        <v>1040</v>
      </c>
      <c r="J63" s="1">
        <v>0</v>
      </c>
      <c r="K63" s="26">
        <v>17490</v>
      </c>
      <c r="L63" s="1">
        <v>0</v>
      </c>
      <c r="M63" s="26">
        <v>950</v>
      </c>
      <c r="N63" s="1">
        <v>0</v>
      </c>
      <c r="O63" s="1">
        <v>0</v>
      </c>
    </row>
    <row r="64" spans="1:15" ht="15" customHeight="1">
      <c r="A64" s="88"/>
      <c r="B64" s="158" t="s">
        <v>199</v>
      </c>
      <c r="C64" s="25"/>
      <c r="D64" s="26"/>
      <c r="E64" s="1"/>
      <c r="F64" s="1"/>
      <c r="G64" s="26"/>
      <c r="H64" s="1"/>
      <c r="I64" s="26"/>
      <c r="J64" s="1"/>
      <c r="K64" s="26"/>
      <c r="L64" s="1"/>
      <c r="M64" s="26"/>
      <c r="N64" s="1"/>
      <c r="O64" s="1"/>
    </row>
    <row r="65" spans="1:15" ht="15" customHeight="1">
      <c r="A65" s="138" t="s">
        <v>394</v>
      </c>
      <c r="B65" s="89" t="s">
        <v>4</v>
      </c>
      <c r="C65" s="25">
        <f>SUM(D65:M65)</f>
        <v>203741</v>
      </c>
      <c r="D65" s="26">
        <v>73491</v>
      </c>
      <c r="E65" s="1">
        <v>0</v>
      </c>
      <c r="F65" s="77">
        <v>151</v>
      </c>
      <c r="G65" s="26">
        <v>786</v>
      </c>
      <c r="H65" s="1">
        <v>0</v>
      </c>
      <c r="I65" s="26">
        <v>1030</v>
      </c>
      <c r="J65" s="1">
        <v>0</v>
      </c>
      <c r="K65" s="26">
        <v>102173</v>
      </c>
      <c r="L65" s="1">
        <v>11160</v>
      </c>
      <c r="M65" s="26">
        <v>14950</v>
      </c>
      <c r="N65" s="1">
        <v>0</v>
      </c>
      <c r="O65" s="1">
        <v>0</v>
      </c>
    </row>
    <row r="66" spans="1:15" ht="15" customHeight="1">
      <c r="A66" s="76"/>
      <c r="B66" s="188" t="s">
        <v>200</v>
      </c>
      <c r="C66" s="25"/>
      <c r="D66" s="26"/>
      <c r="E66" s="1"/>
      <c r="F66" s="1"/>
      <c r="G66" s="26"/>
      <c r="H66" s="1"/>
      <c r="I66" s="26"/>
      <c r="J66" s="1"/>
      <c r="K66" s="26"/>
      <c r="L66" s="1"/>
      <c r="M66" s="26"/>
      <c r="N66" s="1"/>
      <c r="O66" s="1"/>
    </row>
    <row r="67" spans="1:15" s="235" customFormat="1" ht="15" customHeight="1">
      <c r="A67" s="229" t="s">
        <v>397</v>
      </c>
      <c r="B67" s="230" t="s">
        <v>27</v>
      </c>
      <c r="C67" s="231">
        <f>SUM(D67:M67)</f>
        <v>140486</v>
      </c>
      <c r="D67" s="232">
        <v>90596</v>
      </c>
      <c r="E67" s="233">
        <v>0</v>
      </c>
      <c r="F67" s="234">
        <v>50</v>
      </c>
      <c r="G67" s="232">
        <v>680</v>
      </c>
      <c r="H67" s="233">
        <v>0</v>
      </c>
      <c r="I67" s="232">
        <v>681</v>
      </c>
      <c r="J67" s="233">
        <v>0</v>
      </c>
      <c r="K67" s="232">
        <v>48279</v>
      </c>
      <c r="L67" s="233">
        <v>0</v>
      </c>
      <c r="M67" s="232">
        <v>200</v>
      </c>
      <c r="N67" s="233">
        <v>0</v>
      </c>
      <c r="O67" s="233">
        <v>0</v>
      </c>
    </row>
    <row r="68" spans="1:15" s="235" customFormat="1" ht="15" customHeight="1">
      <c r="A68" s="229"/>
      <c r="B68" s="224" t="s">
        <v>199</v>
      </c>
      <c r="C68" s="231"/>
      <c r="D68" s="232"/>
      <c r="E68" s="233"/>
      <c r="F68" s="233"/>
      <c r="G68" s="232"/>
      <c r="H68" s="233"/>
      <c r="I68" s="232"/>
      <c r="J68" s="233"/>
      <c r="K68" s="232"/>
      <c r="L68" s="233"/>
      <c r="M68" s="232"/>
      <c r="N68" s="233"/>
      <c r="O68" s="233"/>
    </row>
    <row r="69" spans="1:15" s="235" customFormat="1" ht="15" customHeight="1">
      <c r="A69" s="228" t="s">
        <v>398</v>
      </c>
      <c r="B69" s="236" t="s">
        <v>4</v>
      </c>
      <c r="C69" s="231">
        <f>SUM(D69:M69)</f>
        <v>208363</v>
      </c>
      <c r="D69" s="232">
        <v>102921</v>
      </c>
      <c r="E69" s="233">
        <v>0</v>
      </c>
      <c r="F69" s="234">
        <v>50</v>
      </c>
      <c r="G69" s="232">
        <v>680</v>
      </c>
      <c r="H69" s="233">
        <v>0</v>
      </c>
      <c r="I69" s="232">
        <v>681</v>
      </c>
      <c r="J69" s="233">
        <v>0</v>
      </c>
      <c r="K69" s="232">
        <v>103831</v>
      </c>
      <c r="L69" s="233">
        <v>0</v>
      </c>
      <c r="M69" s="232">
        <v>200</v>
      </c>
      <c r="N69" s="233">
        <v>0</v>
      </c>
      <c r="O69" s="233">
        <v>0</v>
      </c>
    </row>
    <row r="70" spans="1:15" ht="15" customHeight="1">
      <c r="A70" s="76"/>
      <c r="B70" s="188" t="s">
        <v>200</v>
      </c>
      <c r="C70" s="25"/>
      <c r="D70" s="26"/>
      <c r="E70" s="1"/>
      <c r="F70" s="1"/>
      <c r="G70" s="26"/>
      <c r="H70" s="1"/>
      <c r="I70" s="26"/>
      <c r="J70" s="1"/>
      <c r="K70" s="26"/>
      <c r="L70" s="1"/>
      <c r="M70" s="26"/>
      <c r="N70" s="1"/>
      <c r="O70" s="1"/>
    </row>
    <row r="71" spans="1:15" ht="15" customHeight="1">
      <c r="A71" s="229" t="s">
        <v>413</v>
      </c>
      <c r="B71" s="230" t="s">
        <v>27</v>
      </c>
      <c r="C71" s="231">
        <f>SUM(D71:M71)</f>
        <v>130907</v>
      </c>
      <c r="D71" s="232">
        <v>92224</v>
      </c>
      <c r="E71" s="233">
        <v>0</v>
      </c>
      <c r="F71" s="234">
        <v>50</v>
      </c>
      <c r="G71" s="232">
        <v>700</v>
      </c>
      <c r="H71" s="233">
        <v>0</v>
      </c>
      <c r="I71" s="232">
        <v>1171</v>
      </c>
      <c r="J71" s="233">
        <v>0</v>
      </c>
      <c r="K71" s="232">
        <v>36462</v>
      </c>
      <c r="L71" s="233">
        <v>0</v>
      </c>
      <c r="M71" s="232">
        <v>300</v>
      </c>
      <c r="N71" s="233">
        <v>0</v>
      </c>
      <c r="O71" s="233">
        <v>0</v>
      </c>
    </row>
    <row r="72" spans="1:15" ht="15" customHeight="1">
      <c r="A72" s="229"/>
      <c r="B72" s="224" t="s">
        <v>199</v>
      </c>
      <c r="C72" s="231"/>
      <c r="D72" s="232"/>
      <c r="E72" s="233"/>
      <c r="F72" s="233"/>
      <c r="G72" s="232"/>
      <c r="H72" s="233"/>
      <c r="I72" s="232"/>
      <c r="J72" s="233"/>
      <c r="K72" s="232"/>
      <c r="L72" s="233"/>
      <c r="M72" s="232"/>
      <c r="N72" s="233"/>
      <c r="O72" s="233"/>
    </row>
    <row r="73" spans="1:15" ht="15" customHeight="1">
      <c r="A73" s="228" t="s">
        <v>414</v>
      </c>
      <c r="B73" s="236" t="s">
        <v>4</v>
      </c>
      <c r="C73" s="231">
        <f>SUM(D73:M73)</f>
        <v>206283</v>
      </c>
      <c r="D73" s="232">
        <v>92224</v>
      </c>
      <c r="E73" s="233">
        <v>0</v>
      </c>
      <c r="F73" s="234">
        <v>50</v>
      </c>
      <c r="G73" s="232">
        <v>700</v>
      </c>
      <c r="H73" s="233">
        <v>0</v>
      </c>
      <c r="I73" s="232">
        <v>1171</v>
      </c>
      <c r="J73" s="233">
        <v>0</v>
      </c>
      <c r="K73" s="232">
        <v>111838</v>
      </c>
      <c r="L73" s="233">
        <v>0</v>
      </c>
      <c r="M73" s="232">
        <v>300</v>
      </c>
      <c r="N73" s="233">
        <v>0</v>
      </c>
      <c r="O73" s="232">
        <v>28275</v>
      </c>
    </row>
    <row r="74" spans="1:15" ht="15" customHeight="1">
      <c r="A74" s="76"/>
      <c r="B74" s="188" t="s">
        <v>200</v>
      </c>
      <c r="C74" s="25"/>
      <c r="D74" s="26"/>
      <c r="E74" s="1"/>
      <c r="F74" s="1"/>
      <c r="G74" s="26"/>
      <c r="H74" s="1"/>
      <c r="I74" s="26"/>
      <c r="J74" s="1"/>
      <c r="K74" s="26"/>
      <c r="L74" s="1"/>
      <c r="M74" s="26"/>
      <c r="N74" s="1"/>
      <c r="O74" s="1"/>
    </row>
    <row r="75" spans="1:15" ht="8.25" customHeight="1" thickBot="1">
      <c r="A75" s="93"/>
      <c r="B75" s="94"/>
      <c r="C75" s="34"/>
      <c r="D75" s="35"/>
      <c r="E75" s="2"/>
      <c r="F75" s="35"/>
      <c r="G75" s="35"/>
      <c r="H75" s="2"/>
      <c r="I75" s="35"/>
      <c r="J75" s="2"/>
      <c r="K75" s="35"/>
      <c r="L75" s="2"/>
      <c r="M75" s="35"/>
      <c r="N75" s="2"/>
      <c r="O75" s="2"/>
    </row>
    <row r="76" spans="1:14" ht="16.5">
      <c r="A76" s="99" t="s">
        <v>435</v>
      </c>
      <c r="B76" s="95"/>
      <c r="C76" s="96"/>
      <c r="D76" s="97"/>
      <c r="E76" s="97"/>
      <c r="F76" s="97"/>
      <c r="G76" s="97"/>
      <c r="H76" s="98"/>
      <c r="I76" s="97"/>
      <c r="J76" s="97"/>
      <c r="K76" s="97"/>
      <c r="L76" s="97"/>
      <c r="M76" s="97"/>
      <c r="N76" s="97"/>
    </row>
    <row r="77" spans="1:2" ht="16.5" customHeight="1">
      <c r="A77" s="254" t="s">
        <v>436</v>
      </c>
      <c r="B77" s="95"/>
    </row>
    <row r="79" ht="16.5">
      <c r="B79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zoomScale="130" zoomScaleNormal="130" zoomScalePageLayoutView="0" workbookViewId="0" topLeftCell="A1">
      <pane ySplit="6" topLeftCell="A60" activePane="bottomLeft" state="frozen"/>
      <selection pane="topLeft" activeCell="A1" sqref="A1"/>
      <selection pane="bottomLeft" activeCell="O65" sqref="O65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6.5">
      <c r="A1" s="3" t="s">
        <v>428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304" t="s">
        <v>454</v>
      </c>
      <c r="O1" s="304"/>
    </row>
    <row r="2" spans="1:15" ht="26.25" customHeight="1">
      <c r="A2" s="81" t="s">
        <v>455</v>
      </c>
      <c r="B2" s="82"/>
      <c r="C2" s="83"/>
      <c r="D2" s="83"/>
      <c r="E2" s="83"/>
      <c r="F2" s="83"/>
      <c r="G2" s="83"/>
      <c r="H2" s="84"/>
      <c r="I2" s="260" t="s">
        <v>456</v>
      </c>
      <c r="J2" s="83"/>
      <c r="K2" s="83"/>
      <c r="L2" s="83"/>
      <c r="M2" s="83"/>
      <c r="N2" s="83"/>
      <c r="O2" s="85"/>
    </row>
    <row r="3" spans="1:35" ht="15" customHeight="1">
      <c r="A3" s="86" t="s">
        <v>196</v>
      </c>
      <c r="B3" s="82"/>
      <c r="C3" s="83"/>
      <c r="D3" s="83"/>
      <c r="E3" s="83"/>
      <c r="F3" s="83"/>
      <c r="G3" s="83"/>
      <c r="H3" s="84"/>
      <c r="I3" s="86" t="s">
        <v>197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185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102</v>
      </c>
    </row>
    <row r="5" spans="1:15" ht="27" customHeight="1">
      <c r="A5" s="176" t="s">
        <v>175</v>
      </c>
      <c r="B5" s="177"/>
      <c r="C5" s="180" t="s">
        <v>176</v>
      </c>
      <c r="D5" s="180" t="s">
        <v>177</v>
      </c>
      <c r="E5" s="180" t="s">
        <v>178</v>
      </c>
      <c r="F5" s="180" t="s">
        <v>179</v>
      </c>
      <c r="G5" s="180" t="s">
        <v>180</v>
      </c>
      <c r="H5" s="180" t="s">
        <v>85</v>
      </c>
      <c r="I5" s="179" t="s">
        <v>182</v>
      </c>
      <c r="J5" s="180" t="s">
        <v>371</v>
      </c>
      <c r="K5" s="179" t="s">
        <v>198</v>
      </c>
      <c r="L5" s="179" t="s">
        <v>372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186</v>
      </c>
      <c r="B6" s="123"/>
      <c r="C6" s="182" t="s">
        <v>187</v>
      </c>
      <c r="D6" s="183" t="s">
        <v>188</v>
      </c>
      <c r="E6" s="183" t="s">
        <v>189</v>
      </c>
      <c r="F6" s="183" t="s">
        <v>190</v>
      </c>
      <c r="G6" s="183" t="s">
        <v>191</v>
      </c>
      <c r="H6" s="128"/>
      <c r="I6" s="183" t="s">
        <v>192</v>
      </c>
      <c r="J6" s="183" t="s">
        <v>193</v>
      </c>
      <c r="K6" s="183" t="s">
        <v>194</v>
      </c>
      <c r="L6" s="183" t="s">
        <v>195</v>
      </c>
      <c r="M6" s="182" t="s">
        <v>167</v>
      </c>
      <c r="N6" s="174"/>
      <c r="O6" s="175"/>
    </row>
    <row r="7" spans="1:15" ht="15" customHeight="1" hidden="1">
      <c r="A7" s="88" t="s">
        <v>383</v>
      </c>
      <c r="B7" s="59" t="s">
        <v>27</v>
      </c>
      <c r="C7" s="25">
        <f>SUM(D7:M7)</f>
        <v>96943</v>
      </c>
      <c r="D7" s="26">
        <v>77905</v>
      </c>
      <c r="E7" s="1">
        <v>0</v>
      </c>
      <c r="F7" s="77">
        <v>101</v>
      </c>
      <c r="G7" s="26">
        <v>825</v>
      </c>
      <c r="H7" s="1">
        <v>0</v>
      </c>
      <c r="I7" s="26">
        <v>984</v>
      </c>
      <c r="J7" s="1">
        <v>0</v>
      </c>
      <c r="K7" s="26">
        <v>16046</v>
      </c>
      <c r="L7" s="1">
        <v>0</v>
      </c>
      <c r="M7" s="26">
        <v>1082</v>
      </c>
      <c r="N7" s="1">
        <v>0</v>
      </c>
      <c r="O7" s="1">
        <v>0</v>
      </c>
    </row>
    <row r="8" spans="1:15" ht="15" customHeight="1" hidden="1">
      <c r="A8" s="88"/>
      <c r="B8" s="158" t="s">
        <v>199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384</v>
      </c>
      <c r="B9" s="89" t="s">
        <v>4</v>
      </c>
      <c r="C9" s="25">
        <f>SUM(D9:M9)</f>
        <v>131510</v>
      </c>
      <c r="D9" s="26">
        <v>78923</v>
      </c>
      <c r="E9" s="1">
        <v>0</v>
      </c>
      <c r="F9" s="77">
        <v>101</v>
      </c>
      <c r="G9" s="26">
        <v>1925</v>
      </c>
      <c r="H9" s="1">
        <v>0</v>
      </c>
      <c r="I9" s="26">
        <v>1284</v>
      </c>
      <c r="J9" s="1">
        <v>0</v>
      </c>
      <c r="K9" s="26">
        <v>47295</v>
      </c>
      <c r="L9" s="1">
        <v>0</v>
      </c>
      <c r="M9" s="26">
        <v>1982</v>
      </c>
      <c r="N9" s="1">
        <v>0</v>
      </c>
      <c r="O9" s="1">
        <v>0</v>
      </c>
    </row>
    <row r="10" spans="1:15" ht="15" customHeight="1" hidden="1">
      <c r="A10" s="76"/>
      <c r="B10" s="188" t="s">
        <v>200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386</v>
      </c>
      <c r="B11" s="59" t="s">
        <v>27</v>
      </c>
      <c r="C11" s="25">
        <f>SUM(D11:M11)</f>
        <v>102819</v>
      </c>
      <c r="D11" s="26">
        <v>83667</v>
      </c>
      <c r="E11" s="1">
        <v>0</v>
      </c>
      <c r="F11" s="77">
        <v>151</v>
      </c>
      <c r="G11" s="26">
        <v>822</v>
      </c>
      <c r="H11" s="1">
        <v>0</v>
      </c>
      <c r="I11" s="26">
        <v>1048</v>
      </c>
      <c r="J11" s="1">
        <v>0</v>
      </c>
      <c r="K11" s="26">
        <v>16181</v>
      </c>
      <c r="L11" s="1">
        <v>0</v>
      </c>
      <c r="M11" s="26">
        <v>950</v>
      </c>
      <c r="N11" s="1">
        <v>0</v>
      </c>
      <c r="O11" s="1">
        <v>0</v>
      </c>
    </row>
    <row r="12" spans="1:15" ht="15" customHeight="1" hidden="1">
      <c r="A12" s="88"/>
      <c r="B12" s="158" t="s">
        <v>199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 hidden="1">
      <c r="A13" s="138" t="s">
        <v>387</v>
      </c>
      <c r="B13" s="89" t="s">
        <v>4</v>
      </c>
      <c r="C13" s="25">
        <f>SUM(D13:M13)</f>
        <v>102819</v>
      </c>
      <c r="D13" s="26">
        <v>83667</v>
      </c>
      <c r="E13" s="1">
        <v>0</v>
      </c>
      <c r="F13" s="77">
        <v>151</v>
      </c>
      <c r="G13" s="26">
        <v>822</v>
      </c>
      <c r="H13" s="1">
        <v>0</v>
      </c>
      <c r="I13" s="26">
        <v>1048</v>
      </c>
      <c r="J13" s="1">
        <v>0</v>
      </c>
      <c r="K13" s="26">
        <v>16181</v>
      </c>
      <c r="L13" s="1">
        <v>0</v>
      </c>
      <c r="M13" s="26">
        <v>950</v>
      </c>
      <c r="N13" s="1">
        <v>0</v>
      </c>
      <c r="O13" s="1">
        <v>0</v>
      </c>
    </row>
    <row r="14" spans="1:15" ht="15" customHeight="1" hidden="1">
      <c r="A14" s="76"/>
      <c r="B14" s="188" t="s">
        <v>200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393</v>
      </c>
      <c r="B15" s="59" t="s">
        <v>27</v>
      </c>
      <c r="C15" s="25">
        <f>SUM(D15:M15)</f>
        <v>93988</v>
      </c>
      <c r="D15" s="26">
        <v>73491</v>
      </c>
      <c r="E15" s="1">
        <v>0</v>
      </c>
      <c r="F15" s="77">
        <v>151</v>
      </c>
      <c r="G15" s="26">
        <v>866</v>
      </c>
      <c r="H15" s="1">
        <v>0</v>
      </c>
      <c r="I15" s="26">
        <v>1040</v>
      </c>
      <c r="J15" s="1">
        <v>0</v>
      </c>
      <c r="K15" s="26">
        <v>17490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 hidden="1">
      <c r="A16" s="88"/>
      <c r="B16" s="158" t="s">
        <v>199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 hidden="1">
      <c r="A17" s="138" t="s">
        <v>394</v>
      </c>
      <c r="B17" s="89" t="s">
        <v>4</v>
      </c>
      <c r="C17" s="25">
        <f>SUM(D17:M17)</f>
        <v>203741</v>
      </c>
      <c r="D17" s="26">
        <v>73491</v>
      </c>
      <c r="E17" s="1">
        <v>0</v>
      </c>
      <c r="F17" s="77">
        <v>151</v>
      </c>
      <c r="G17" s="26">
        <v>786</v>
      </c>
      <c r="H17" s="1">
        <v>0</v>
      </c>
      <c r="I17" s="26">
        <v>1030</v>
      </c>
      <c r="J17" s="1">
        <v>0</v>
      </c>
      <c r="K17" s="26">
        <v>102173</v>
      </c>
      <c r="L17" s="1">
        <v>11160</v>
      </c>
      <c r="M17" s="26">
        <v>14950</v>
      </c>
      <c r="N17" s="1">
        <v>0</v>
      </c>
      <c r="O17" s="1">
        <v>0</v>
      </c>
    </row>
    <row r="18" spans="1:15" ht="15" customHeight="1" hidden="1">
      <c r="A18" s="76"/>
      <c r="B18" s="188" t="s">
        <v>200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s="235" customFormat="1" ht="15" customHeight="1" hidden="1">
      <c r="A19" s="229" t="s">
        <v>397</v>
      </c>
      <c r="B19" s="230" t="s">
        <v>27</v>
      </c>
      <c r="C19" s="231">
        <f>SUM(D19:M19)</f>
        <v>140486</v>
      </c>
      <c r="D19" s="232">
        <v>90596</v>
      </c>
      <c r="E19" s="233">
        <v>0</v>
      </c>
      <c r="F19" s="234">
        <v>50</v>
      </c>
      <c r="G19" s="232">
        <v>680</v>
      </c>
      <c r="H19" s="233">
        <v>0</v>
      </c>
      <c r="I19" s="232">
        <v>681</v>
      </c>
      <c r="J19" s="233">
        <v>0</v>
      </c>
      <c r="K19" s="232">
        <v>48279</v>
      </c>
      <c r="L19" s="233">
        <v>0</v>
      </c>
      <c r="M19" s="232">
        <v>200</v>
      </c>
      <c r="N19" s="233">
        <v>0</v>
      </c>
      <c r="O19" s="233">
        <v>0</v>
      </c>
    </row>
    <row r="20" spans="1:15" s="235" customFormat="1" ht="15" customHeight="1" hidden="1">
      <c r="A20" s="229"/>
      <c r="B20" s="224" t="s">
        <v>199</v>
      </c>
      <c r="C20" s="231"/>
      <c r="D20" s="232"/>
      <c r="E20" s="233"/>
      <c r="F20" s="233"/>
      <c r="G20" s="232"/>
      <c r="H20" s="233"/>
      <c r="I20" s="232"/>
      <c r="J20" s="233"/>
      <c r="K20" s="232"/>
      <c r="L20" s="233"/>
      <c r="M20" s="232"/>
      <c r="N20" s="233"/>
      <c r="O20" s="233"/>
    </row>
    <row r="21" spans="1:15" s="235" customFormat="1" ht="15" customHeight="1" hidden="1">
      <c r="A21" s="228" t="s">
        <v>398</v>
      </c>
      <c r="B21" s="236" t="s">
        <v>4</v>
      </c>
      <c r="C21" s="231">
        <f>SUM(D21:M21)</f>
        <v>208363</v>
      </c>
      <c r="D21" s="232">
        <v>102921</v>
      </c>
      <c r="E21" s="233">
        <v>0</v>
      </c>
      <c r="F21" s="234">
        <v>50</v>
      </c>
      <c r="G21" s="232">
        <v>680</v>
      </c>
      <c r="H21" s="233">
        <v>0</v>
      </c>
      <c r="I21" s="232">
        <v>681</v>
      </c>
      <c r="J21" s="233">
        <v>0</v>
      </c>
      <c r="K21" s="232">
        <v>103831</v>
      </c>
      <c r="L21" s="233">
        <v>0</v>
      </c>
      <c r="M21" s="232">
        <v>200</v>
      </c>
      <c r="N21" s="233">
        <v>0</v>
      </c>
      <c r="O21" s="233">
        <v>0</v>
      </c>
    </row>
    <row r="22" spans="1:15" ht="15" customHeight="1" hidden="1">
      <c r="A22" s="76"/>
      <c r="B22" s="188" t="s">
        <v>200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ht="15" customHeight="1" hidden="1">
      <c r="A23" s="229" t="s">
        <v>413</v>
      </c>
      <c r="B23" s="230" t="s">
        <v>27</v>
      </c>
      <c r="C23" s="231">
        <f>SUM(D23:M23)</f>
        <v>130907</v>
      </c>
      <c r="D23" s="232">
        <v>92224</v>
      </c>
      <c r="E23" s="233">
        <v>0</v>
      </c>
      <c r="F23" s="234">
        <v>50</v>
      </c>
      <c r="G23" s="232">
        <v>700</v>
      </c>
      <c r="H23" s="233">
        <v>0</v>
      </c>
      <c r="I23" s="232">
        <v>1171</v>
      </c>
      <c r="J23" s="233">
        <v>0</v>
      </c>
      <c r="K23" s="232">
        <v>36462</v>
      </c>
      <c r="L23" s="233">
        <v>0</v>
      </c>
      <c r="M23" s="232">
        <v>300</v>
      </c>
      <c r="N23" s="233">
        <v>0</v>
      </c>
      <c r="O23" s="233">
        <v>0</v>
      </c>
    </row>
    <row r="24" spans="1:15" ht="15" customHeight="1" hidden="1">
      <c r="A24" s="229"/>
      <c r="B24" s="224" t="s">
        <v>199</v>
      </c>
      <c r="C24" s="231"/>
      <c r="D24" s="232"/>
      <c r="E24" s="233"/>
      <c r="F24" s="233"/>
      <c r="G24" s="232"/>
      <c r="H24" s="233"/>
      <c r="I24" s="232"/>
      <c r="J24" s="233"/>
      <c r="K24" s="232"/>
      <c r="L24" s="233"/>
      <c r="M24" s="232"/>
      <c r="N24" s="233"/>
      <c r="O24" s="233"/>
    </row>
    <row r="25" spans="1:15" ht="15" customHeight="1" hidden="1">
      <c r="A25" s="228" t="s">
        <v>414</v>
      </c>
      <c r="B25" s="236" t="s">
        <v>4</v>
      </c>
      <c r="C25" s="231">
        <f>SUM(D25:M25)</f>
        <v>206283</v>
      </c>
      <c r="D25" s="232">
        <v>92224</v>
      </c>
      <c r="E25" s="233">
        <v>0</v>
      </c>
      <c r="F25" s="234">
        <v>50</v>
      </c>
      <c r="G25" s="232">
        <v>700</v>
      </c>
      <c r="H25" s="233">
        <v>0</v>
      </c>
      <c r="I25" s="232">
        <v>1171</v>
      </c>
      <c r="J25" s="233">
        <v>0</v>
      </c>
      <c r="K25" s="232">
        <v>111838</v>
      </c>
      <c r="L25" s="233">
        <v>0</v>
      </c>
      <c r="M25" s="232">
        <v>300</v>
      </c>
      <c r="N25" s="233">
        <v>0</v>
      </c>
      <c r="O25" s="232">
        <v>28275</v>
      </c>
    </row>
    <row r="26" spans="1:15" ht="15" customHeight="1" hidden="1">
      <c r="A26" s="76"/>
      <c r="B26" s="188" t="s">
        <v>200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29" t="s">
        <v>417</v>
      </c>
      <c r="B27" s="230" t="s">
        <v>27</v>
      </c>
      <c r="C27" s="231">
        <f>SUM(D27:M27)</f>
        <v>139117</v>
      </c>
      <c r="D27" s="232">
        <v>96846</v>
      </c>
      <c r="E27" s="233">
        <v>0</v>
      </c>
      <c r="F27" s="234">
        <v>200</v>
      </c>
      <c r="G27" s="232">
        <v>1193</v>
      </c>
      <c r="H27" s="233">
        <v>0</v>
      </c>
      <c r="I27" s="232">
        <v>251</v>
      </c>
      <c r="J27" s="233">
        <v>0</v>
      </c>
      <c r="K27" s="232">
        <v>40227</v>
      </c>
      <c r="L27" s="233">
        <v>0</v>
      </c>
      <c r="M27" s="232">
        <v>400</v>
      </c>
      <c r="N27" s="233">
        <v>0</v>
      </c>
      <c r="O27" s="233">
        <v>0</v>
      </c>
    </row>
    <row r="28" spans="1:15" ht="15" customHeight="1">
      <c r="A28" s="229"/>
      <c r="B28" s="224" t="s">
        <v>199</v>
      </c>
      <c r="C28" s="231"/>
      <c r="D28" s="232"/>
      <c r="E28" s="233"/>
      <c r="F28" s="233"/>
      <c r="G28" s="232"/>
      <c r="H28" s="233"/>
      <c r="I28" s="232"/>
      <c r="J28" s="233"/>
      <c r="K28" s="232"/>
      <c r="L28" s="233"/>
      <c r="M28" s="232"/>
      <c r="N28" s="233"/>
      <c r="O28" s="233"/>
    </row>
    <row r="29" spans="1:15" ht="15" customHeight="1">
      <c r="A29" s="228" t="s">
        <v>419</v>
      </c>
      <c r="B29" s="236" t="s">
        <v>4</v>
      </c>
      <c r="C29" s="231">
        <f>SUM(D29:M29)</f>
        <v>171047</v>
      </c>
      <c r="D29" s="232">
        <v>96846</v>
      </c>
      <c r="E29" s="233">
        <v>0</v>
      </c>
      <c r="F29" s="234">
        <v>200</v>
      </c>
      <c r="G29" s="232">
        <v>1193</v>
      </c>
      <c r="H29" s="233">
        <v>0</v>
      </c>
      <c r="I29" s="232">
        <v>251</v>
      </c>
      <c r="J29" s="233">
        <v>0</v>
      </c>
      <c r="K29" s="232">
        <v>72157</v>
      </c>
      <c r="L29" s="233">
        <v>0</v>
      </c>
      <c r="M29" s="232">
        <v>400</v>
      </c>
      <c r="N29" s="233">
        <v>0</v>
      </c>
      <c r="O29" s="232">
        <v>49835</v>
      </c>
    </row>
    <row r="30" spans="1:15" ht="15" customHeight="1">
      <c r="A30" s="76"/>
      <c r="B30" s="188" t="s">
        <v>200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s="235" customFormat="1" ht="15" customHeight="1">
      <c r="A31" s="229" t="s">
        <v>442</v>
      </c>
      <c r="B31" s="230" t="s">
        <v>27</v>
      </c>
      <c r="C31" s="231">
        <f>SUM(D31:M31)</f>
        <v>145732</v>
      </c>
      <c r="D31" s="232">
        <v>98301</v>
      </c>
      <c r="E31" s="233">
        <v>0</v>
      </c>
      <c r="F31" s="234">
        <v>50</v>
      </c>
      <c r="G31" s="232">
        <v>1623</v>
      </c>
      <c r="H31" s="233">
        <v>0</v>
      </c>
      <c r="I31" s="232">
        <v>263</v>
      </c>
      <c r="J31" s="233">
        <v>0</v>
      </c>
      <c r="K31" s="232">
        <v>45095</v>
      </c>
      <c r="L31" s="233">
        <v>0</v>
      </c>
      <c r="M31" s="232">
        <v>400</v>
      </c>
      <c r="N31" s="233">
        <v>0</v>
      </c>
      <c r="O31" s="233">
        <v>0</v>
      </c>
    </row>
    <row r="32" spans="1:15" ht="15" customHeight="1">
      <c r="A32" s="229"/>
      <c r="B32" s="224" t="s">
        <v>199</v>
      </c>
      <c r="C32" s="231"/>
      <c r="D32" s="232"/>
      <c r="E32" s="233"/>
      <c r="F32" s="233"/>
      <c r="G32" s="232"/>
      <c r="H32" s="233"/>
      <c r="I32" s="232"/>
      <c r="J32" s="233"/>
      <c r="K32" s="232"/>
      <c r="L32" s="233"/>
      <c r="M32" s="232"/>
      <c r="N32" s="233"/>
      <c r="O32" s="233"/>
    </row>
    <row r="33" spans="1:15" ht="15" customHeight="1">
      <c r="A33" s="228" t="s">
        <v>443</v>
      </c>
      <c r="B33" s="236" t="s">
        <v>4</v>
      </c>
      <c r="C33" s="231">
        <f>SUM(D33:M33)</f>
        <v>227661</v>
      </c>
      <c r="D33" s="232">
        <v>98301</v>
      </c>
      <c r="E33" s="233">
        <v>0</v>
      </c>
      <c r="F33" s="234">
        <v>50</v>
      </c>
      <c r="G33" s="232">
        <v>1623</v>
      </c>
      <c r="H33" s="233">
        <v>0</v>
      </c>
      <c r="I33" s="232">
        <v>263</v>
      </c>
      <c r="J33" s="233">
        <v>0</v>
      </c>
      <c r="K33" s="232">
        <v>127024</v>
      </c>
      <c r="L33" s="233">
        <v>0</v>
      </c>
      <c r="M33" s="232">
        <v>400</v>
      </c>
      <c r="N33" s="233">
        <v>0</v>
      </c>
      <c r="O33" s="232">
        <v>81098</v>
      </c>
    </row>
    <row r="34" spans="1:15" ht="15" customHeight="1">
      <c r="A34" s="76"/>
      <c r="B34" s="188" t="s">
        <v>200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5" customFormat="1" ht="15" customHeight="1">
      <c r="A35" s="229" t="s">
        <v>447</v>
      </c>
      <c r="B35" s="230" t="s">
        <v>27</v>
      </c>
      <c r="C35" s="231">
        <f>SUM(D35:M35)</f>
        <v>151424</v>
      </c>
      <c r="D35" s="232">
        <v>111033</v>
      </c>
      <c r="E35" s="233">
        <v>0</v>
      </c>
      <c r="F35" s="234">
        <v>50</v>
      </c>
      <c r="G35" s="232">
        <v>479</v>
      </c>
      <c r="H35" s="233">
        <v>0</v>
      </c>
      <c r="I35" s="232">
        <v>263</v>
      </c>
      <c r="J35" s="233">
        <v>0</v>
      </c>
      <c r="K35" s="232">
        <v>39049</v>
      </c>
      <c r="L35" s="233">
        <v>0</v>
      </c>
      <c r="M35" s="232">
        <v>550</v>
      </c>
      <c r="N35" s="233">
        <v>0</v>
      </c>
      <c r="O35" s="233">
        <v>0</v>
      </c>
    </row>
    <row r="36" spans="1:15" ht="15" customHeight="1">
      <c r="A36" s="229"/>
      <c r="B36" s="224" t="s">
        <v>199</v>
      </c>
      <c r="C36" s="231"/>
      <c r="D36" s="232"/>
      <c r="E36" s="233"/>
      <c r="F36" s="233"/>
      <c r="G36" s="232"/>
      <c r="H36" s="233"/>
      <c r="I36" s="232"/>
      <c r="J36" s="233"/>
      <c r="K36" s="232"/>
      <c r="L36" s="233"/>
      <c r="M36" s="232"/>
      <c r="N36" s="233"/>
      <c r="O36" s="233"/>
    </row>
    <row r="37" spans="1:15" ht="15" customHeight="1">
      <c r="A37" s="228" t="s">
        <v>448</v>
      </c>
      <c r="B37" s="236" t="s">
        <v>4</v>
      </c>
      <c r="C37" s="231">
        <f>SUM(D37:M37)</f>
        <v>184499</v>
      </c>
      <c r="D37" s="232">
        <v>111033</v>
      </c>
      <c r="E37" s="233">
        <v>0</v>
      </c>
      <c r="F37" s="234">
        <v>50</v>
      </c>
      <c r="G37" s="232">
        <v>479</v>
      </c>
      <c r="H37" s="233">
        <v>0</v>
      </c>
      <c r="I37" s="232">
        <v>263</v>
      </c>
      <c r="J37" s="233">
        <v>0</v>
      </c>
      <c r="K37" s="232">
        <v>72124</v>
      </c>
      <c r="L37" s="233">
        <v>0</v>
      </c>
      <c r="M37" s="232">
        <v>550</v>
      </c>
      <c r="N37" s="233">
        <v>0</v>
      </c>
      <c r="O37" s="232">
        <v>29399</v>
      </c>
    </row>
    <row r="38" spans="1:15" ht="15" customHeight="1">
      <c r="A38" s="76"/>
      <c r="B38" s="188" t="s">
        <v>200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5" customFormat="1" ht="15" customHeight="1">
      <c r="A39" s="229" t="s">
        <v>481</v>
      </c>
      <c r="B39" s="230" t="s">
        <v>27</v>
      </c>
      <c r="C39" s="231">
        <f>SUM(D39:M39)</f>
        <v>169926</v>
      </c>
      <c r="D39" s="232">
        <v>118424</v>
      </c>
      <c r="E39" s="233">
        <v>0</v>
      </c>
      <c r="F39" s="234">
        <v>50</v>
      </c>
      <c r="G39" s="232">
        <v>529</v>
      </c>
      <c r="H39" s="233">
        <v>0</v>
      </c>
      <c r="I39" s="232">
        <v>263</v>
      </c>
      <c r="J39" s="233">
        <v>0</v>
      </c>
      <c r="K39" s="232">
        <v>49903</v>
      </c>
      <c r="L39" s="233">
        <v>0</v>
      </c>
      <c r="M39" s="232">
        <v>757</v>
      </c>
      <c r="N39" s="233">
        <v>0</v>
      </c>
      <c r="O39" s="233">
        <v>0</v>
      </c>
    </row>
    <row r="40" spans="1:15" ht="15" customHeight="1">
      <c r="A40" s="229"/>
      <c r="B40" s="224" t="s">
        <v>199</v>
      </c>
      <c r="C40" s="231"/>
      <c r="D40" s="232"/>
      <c r="E40" s="233"/>
      <c r="F40" s="233"/>
      <c r="G40" s="232"/>
      <c r="H40" s="233"/>
      <c r="I40" s="232"/>
      <c r="J40" s="233"/>
      <c r="K40" s="232"/>
      <c r="L40" s="233"/>
      <c r="M40" s="232"/>
      <c r="N40" s="233"/>
      <c r="O40" s="233"/>
    </row>
    <row r="41" spans="1:15" ht="15" customHeight="1">
      <c r="A41" s="228" t="s">
        <v>475</v>
      </c>
      <c r="B41" s="236" t="s">
        <v>4</v>
      </c>
      <c r="C41" s="231">
        <f>SUM(D41:M41)</f>
        <v>218006</v>
      </c>
      <c r="D41" s="232">
        <v>118424</v>
      </c>
      <c r="E41" s="233">
        <v>0</v>
      </c>
      <c r="F41" s="234">
        <v>50</v>
      </c>
      <c r="G41" s="232">
        <v>529</v>
      </c>
      <c r="H41" s="233">
        <v>0</v>
      </c>
      <c r="I41" s="232">
        <v>263</v>
      </c>
      <c r="J41" s="233">
        <v>0</v>
      </c>
      <c r="K41" s="232">
        <v>95733</v>
      </c>
      <c r="L41" s="233">
        <v>0</v>
      </c>
      <c r="M41" s="232">
        <v>3007</v>
      </c>
      <c r="N41" s="233">
        <v>0</v>
      </c>
      <c r="O41" s="232">
        <v>15748</v>
      </c>
    </row>
    <row r="42" spans="1:15" ht="15" customHeight="1">
      <c r="A42" s="76"/>
      <c r="B42" s="188" t="s">
        <v>200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5" customFormat="1" ht="15" customHeight="1">
      <c r="A43" s="229" t="s">
        <v>482</v>
      </c>
      <c r="B43" s="230" t="s">
        <v>27</v>
      </c>
      <c r="C43" s="231">
        <f>SUM(D43:M43)</f>
        <v>211588</v>
      </c>
      <c r="D43" s="232">
        <v>122398</v>
      </c>
      <c r="E43" s="233">
        <v>0</v>
      </c>
      <c r="F43" s="234">
        <v>50</v>
      </c>
      <c r="G43" s="232">
        <v>503</v>
      </c>
      <c r="H43" s="233">
        <v>0</v>
      </c>
      <c r="I43" s="232">
        <v>263</v>
      </c>
      <c r="J43" s="233">
        <v>0</v>
      </c>
      <c r="K43" s="232">
        <v>84617</v>
      </c>
      <c r="L43" s="233">
        <v>0</v>
      </c>
      <c r="M43" s="232">
        <v>3757</v>
      </c>
      <c r="N43" s="233">
        <v>0</v>
      </c>
      <c r="O43" s="233">
        <v>0</v>
      </c>
    </row>
    <row r="44" spans="1:15" ht="15" customHeight="1">
      <c r="A44" s="229"/>
      <c r="B44" s="224" t="s">
        <v>199</v>
      </c>
      <c r="C44" s="231"/>
      <c r="D44" s="232"/>
      <c r="E44" s="233"/>
      <c r="F44" s="233"/>
      <c r="G44" s="232"/>
      <c r="H44" s="233"/>
      <c r="I44" s="232"/>
      <c r="J44" s="233"/>
      <c r="K44" s="232"/>
      <c r="L44" s="233"/>
      <c r="M44" s="232"/>
      <c r="N44" s="233"/>
      <c r="O44" s="233"/>
    </row>
    <row r="45" spans="1:15" ht="15" customHeight="1">
      <c r="A45" s="228" t="s">
        <v>475</v>
      </c>
      <c r="B45" s="236" t="s">
        <v>4</v>
      </c>
      <c r="C45" s="231">
        <f>SUM(D45:M45)</f>
        <v>341463</v>
      </c>
      <c r="D45" s="232">
        <v>122398</v>
      </c>
      <c r="E45" s="233">
        <v>0</v>
      </c>
      <c r="F45" s="234">
        <v>50</v>
      </c>
      <c r="G45" s="232">
        <v>503</v>
      </c>
      <c r="H45" s="233">
        <v>0</v>
      </c>
      <c r="I45" s="232">
        <v>263</v>
      </c>
      <c r="J45" s="233">
        <v>0</v>
      </c>
      <c r="K45" s="232">
        <v>214492</v>
      </c>
      <c r="L45" s="233">
        <v>0</v>
      </c>
      <c r="M45" s="232">
        <v>3757</v>
      </c>
      <c r="N45" s="233">
        <v>0</v>
      </c>
      <c r="O45" s="232">
        <v>24127</v>
      </c>
    </row>
    <row r="46" spans="1:15" ht="15" customHeight="1">
      <c r="A46" s="76"/>
      <c r="B46" s="188" t="s">
        <v>200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s="235" customFormat="1" ht="15" customHeight="1">
      <c r="A47" s="229" t="s">
        <v>491</v>
      </c>
      <c r="B47" s="230" t="s">
        <v>27</v>
      </c>
      <c r="C47" s="231">
        <f>SUM(D47:M47)</f>
        <v>193996</v>
      </c>
      <c r="D47" s="232">
        <v>126952</v>
      </c>
      <c r="E47" s="233">
        <v>0</v>
      </c>
      <c r="F47" s="234">
        <v>50</v>
      </c>
      <c r="G47" s="232">
        <v>378</v>
      </c>
      <c r="H47" s="233">
        <v>0</v>
      </c>
      <c r="I47" s="232">
        <v>277</v>
      </c>
      <c r="J47" s="233">
        <v>0</v>
      </c>
      <c r="K47" s="232">
        <v>63089</v>
      </c>
      <c r="L47" s="233">
        <v>0</v>
      </c>
      <c r="M47" s="232">
        <v>3250</v>
      </c>
      <c r="N47" s="233">
        <v>0</v>
      </c>
      <c r="O47" s="233">
        <v>0</v>
      </c>
    </row>
    <row r="48" spans="1:15" ht="15" customHeight="1">
      <c r="A48" s="229"/>
      <c r="B48" s="224" t="s">
        <v>199</v>
      </c>
      <c r="C48" s="231"/>
      <c r="D48" s="232"/>
      <c r="E48" s="233"/>
      <c r="F48" s="233"/>
      <c r="G48" s="232"/>
      <c r="H48" s="233"/>
      <c r="I48" s="232"/>
      <c r="J48" s="233"/>
      <c r="K48" s="232"/>
      <c r="L48" s="233"/>
      <c r="M48" s="232"/>
      <c r="N48" s="233"/>
      <c r="O48" s="233"/>
    </row>
    <row r="49" spans="1:15" ht="15" customHeight="1">
      <c r="A49" s="228" t="s">
        <v>492</v>
      </c>
      <c r="B49" s="236" t="s">
        <v>4</v>
      </c>
      <c r="C49" s="231">
        <f>SUM(D49:M49)</f>
        <v>274908</v>
      </c>
      <c r="D49" s="232">
        <v>140437</v>
      </c>
      <c r="E49" s="233">
        <v>0</v>
      </c>
      <c r="F49" s="234">
        <v>50</v>
      </c>
      <c r="G49" s="232">
        <v>378</v>
      </c>
      <c r="H49" s="233">
        <v>0</v>
      </c>
      <c r="I49" s="232">
        <v>277</v>
      </c>
      <c r="J49" s="233">
        <v>0</v>
      </c>
      <c r="K49" s="232">
        <v>130516</v>
      </c>
      <c r="L49" s="233">
        <v>0</v>
      </c>
      <c r="M49" s="232">
        <v>3250</v>
      </c>
      <c r="N49" s="233">
        <v>0</v>
      </c>
      <c r="O49" s="232">
        <v>40844</v>
      </c>
    </row>
    <row r="50" spans="1:15" ht="15" customHeight="1">
      <c r="A50" s="76"/>
      <c r="B50" s="188" t="s">
        <v>200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s="235" customFormat="1" ht="15" customHeight="1">
      <c r="A51" s="229" t="s">
        <v>495</v>
      </c>
      <c r="B51" s="230" t="s">
        <v>27</v>
      </c>
      <c r="C51" s="231">
        <f>SUM(D51:M51)</f>
        <v>187905</v>
      </c>
      <c r="D51" s="232">
        <v>132435</v>
      </c>
      <c r="E51" s="233">
        <v>0</v>
      </c>
      <c r="F51" s="234">
        <v>350</v>
      </c>
      <c r="G51" s="232">
        <v>553</v>
      </c>
      <c r="H51" s="233">
        <v>0</v>
      </c>
      <c r="I51" s="232">
        <v>280</v>
      </c>
      <c r="J51" s="233">
        <v>0</v>
      </c>
      <c r="K51" s="232">
        <v>51837</v>
      </c>
      <c r="L51" s="233">
        <v>0</v>
      </c>
      <c r="M51" s="232">
        <v>2450</v>
      </c>
      <c r="N51" s="233">
        <v>0</v>
      </c>
      <c r="O51" s="233">
        <v>0</v>
      </c>
    </row>
    <row r="52" spans="1:15" ht="15" customHeight="1">
      <c r="A52" s="229"/>
      <c r="B52" s="224" t="s">
        <v>199</v>
      </c>
      <c r="C52" s="231"/>
      <c r="D52" s="232"/>
      <c r="E52" s="233"/>
      <c r="F52" s="233"/>
      <c r="G52" s="232"/>
      <c r="H52" s="233"/>
      <c r="I52" s="232"/>
      <c r="J52" s="233"/>
      <c r="K52" s="232"/>
      <c r="L52" s="233"/>
      <c r="M52" s="232"/>
      <c r="N52" s="233"/>
      <c r="O52" s="233"/>
    </row>
    <row r="53" spans="1:15" ht="15" customHeight="1">
      <c r="A53" s="228" t="s">
        <v>496</v>
      </c>
      <c r="B53" s="236" t="s">
        <v>4</v>
      </c>
      <c r="C53" s="231">
        <f>SUM(D53:M53)</f>
        <v>333483</v>
      </c>
      <c r="D53" s="232">
        <v>132435</v>
      </c>
      <c r="E53" s="233">
        <v>0</v>
      </c>
      <c r="F53" s="234">
        <v>350</v>
      </c>
      <c r="G53" s="232">
        <v>553</v>
      </c>
      <c r="H53" s="233">
        <v>0</v>
      </c>
      <c r="I53" s="232">
        <v>280</v>
      </c>
      <c r="J53" s="233">
        <v>0</v>
      </c>
      <c r="K53" s="232">
        <v>197415</v>
      </c>
      <c r="L53" s="233">
        <v>0</v>
      </c>
      <c r="M53" s="232">
        <v>2450</v>
      </c>
      <c r="N53" s="233">
        <v>0</v>
      </c>
      <c r="O53" s="232">
        <v>18976</v>
      </c>
    </row>
    <row r="54" spans="1:15" ht="15" customHeight="1">
      <c r="A54" s="76"/>
      <c r="B54" s="188" t="s">
        <v>200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s="235" customFormat="1" ht="15" customHeight="1">
      <c r="A55" s="229" t="s">
        <v>501</v>
      </c>
      <c r="B55" s="230" t="s">
        <v>27</v>
      </c>
      <c r="C55" s="231">
        <f>SUM(D55:M55)</f>
        <v>173528</v>
      </c>
      <c r="D55" s="232">
        <v>127542</v>
      </c>
      <c r="E55" s="233">
        <v>0</v>
      </c>
      <c r="F55" s="234">
        <v>350</v>
      </c>
      <c r="G55" s="232">
        <v>581</v>
      </c>
      <c r="H55" s="233">
        <v>0</v>
      </c>
      <c r="I55" s="232">
        <v>195</v>
      </c>
      <c r="J55" s="233">
        <v>0</v>
      </c>
      <c r="K55" s="232">
        <v>42333</v>
      </c>
      <c r="L55" s="232">
        <v>10</v>
      </c>
      <c r="M55" s="232">
        <v>2517</v>
      </c>
      <c r="N55" s="233">
        <v>0</v>
      </c>
      <c r="O55" s="233">
        <v>0</v>
      </c>
    </row>
    <row r="56" spans="1:15" s="235" customFormat="1" ht="15" customHeight="1">
      <c r="A56" s="229"/>
      <c r="B56" s="224" t="s">
        <v>199</v>
      </c>
      <c r="C56" s="231"/>
      <c r="D56" s="232"/>
      <c r="E56" s="233"/>
      <c r="F56" s="233"/>
      <c r="G56" s="232"/>
      <c r="H56" s="233"/>
      <c r="I56" s="232"/>
      <c r="J56" s="233"/>
      <c r="K56" s="232"/>
      <c r="L56" s="233"/>
      <c r="M56" s="232"/>
      <c r="N56" s="233"/>
      <c r="O56" s="233"/>
    </row>
    <row r="57" spans="1:15" s="235" customFormat="1" ht="15" customHeight="1">
      <c r="A57" s="228" t="s">
        <v>503</v>
      </c>
      <c r="B57" s="236" t="s">
        <v>4</v>
      </c>
      <c r="C57" s="231">
        <f>SUM(D57:M57)</f>
        <v>529190</v>
      </c>
      <c r="D57" s="232">
        <v>128149</v>
      </c>
      <c r="E57" s="233">
        <v>0</v>
      </c>
      <c r="F57" s="234">
        <v>350</v>
      </c>
      <c r="G57" s="232">
        <v>581</v>
      </c>
      <c r="H57" s="233">
        <v>0</v>
      </c>
      <c r="I57" s="232">
        <v>195</v>
      </c>
      <c r="J57" s="233">
        <v>0</v>
      </c>
      <c r="K57" s="232">
        <v>397388</v>
      </c>
      <c r="L57" s="232">
        <v>10</v>
      </c>
      <c r="M57" s="232">
        <v>2517</v>
      </c>
      <c r="N57" s="233">
        <v>0</v>
      </c>
      <c r="O57" s="232">
        <v>26922</v>
      </c>
    </row>
    <row r="58" spans="1:15" s="235" customFormat="1" ht="15" customHeight="1">
      <c r="A58" s="223"/>
      <c r="B58" s="287" t="s">
        <v>200</v>
      </c>
      <c r="C58" s="231"/>
      <c r="D58" s="232"/>
      <c r="E58" s="233"/>
      <c r="F58" s="233"/>
      <c r="G58" s="232"/>
      <c r="H58" s="233"/>
      <c r="I58" s="232"/>
      <c r="J58" s="233"/>
      <c r="K58" s="232"/>
      <c r="L58" s="233"/>
      <c r="M58" s="232"/>
      <c r="N58" s="233"/>
      <c r="O58" s="233"/>
    </row>
    <row r="59" spans="1:15" s="235" customFormat="1" ht="15" customHeight="1">
      <c r="A59" s="229" t="s">
        <v>509</v>
      </c>
      <c r="B59" s="230" t="s">
        <v>27</v>
      </c>
      <c r="C59" s="231">
        <f>SUM(D59:M59)</f>
        <v>167170</v>
      </c>
      <c r="D59" s="232">
        <v>123578</v>
      </c>
      <c r="E59" s="233">
        <v>0</v>
      </c>
      <c r="F59" s="234">
        <v>350</v>
      </c>
      <c r="G59" s="232">
        <v>743</v>
      </c>
      <c r="H59" s="233">
        <v>0</v>
      </c>
      <c r="I59" s="232">
        <v>195</v>
      </c>
      <c r="J59" s="233">
        <v>0</v>
      </c>
      <c r="K59" s="232">
        <v>39217</v>
      </c>
      <c r="L59" s="232">
        <v>10</v>
      </c>
      <c r="M59" s="232">
        <v>3077</v>
      </c>
      <c r="N59" s="233">
        <v>0</v>
      </c>
      <c r="O59" s="233">
        <v>0</v>
      </c>
    </row>
    <row r="60" spans="1:15" s="235" customFormat="1" ht="15" customHeight="1">
      <c r="A60" s="229"/>
      <c r="B60" s="224" t="s">
        <v>199</v>
      </c>
      <c r="C60" s="231"/>
      <c r="D60" s="232"/>
      <c r="E60" s="233"/>
      <c r="F60" s="233"/>
      <c r="G60" s="232"/>
      <c r="H60" s="233"/>
      <c r="I60" s="232"/>
      <c r="J60" s="233"/>
      <c r="K60" s="232"/>
      <c r="L60" s="233"/>
      <c r="M60" s="232"/>
      <c r="N60" s="233"/>
      <c r="O60" s="233"/>
    </row>
    <row r="61" spans="1:15" s="235" customFormat="1" ht="15" customHeight="1">
      <c r="A61" s="228" t="s">
        <v>506</v>
      </c>
      <c r="B61" s="236" t="s">
        <v>4</v>
      </c>
      <c r="C61" s="231">
        <f>SUM(D61:M61)</f>
        <v>280137</v>
      </c>
      <c r="D61" s="232">
        <v>123588</v>
      </c>
      <c r="E61" s="233">
        <v>0</v>
      </c>
      <c r="F61" s="234">
        <v>350</v>
      </c>
      <c r="G61" s="232">
        <v>743</v>
      </c>
      <c r="H61" s="233">
        <v>0</v>
      </c>
      <c r="I61" s="232">
        <v>195</v>
      </c>
      <c r="J61" s="233">
        <v>0</v>
      </c>
      <c r="K61" s="232">
        <v>152174</v>
      </c>
      <c r="L61" s="232">
        <v>10</v>
      </c>
      <c r="M61" s="232">
        <v>3077</v>
      </c>
      <c r="N61" s="233">
        <v>0</v>
      </c>
      <c r="O61" s="232">
        <v>12489</v>
      </c>
    </row>
    <row r="62" spans="1:15" s="235" customFormat="1" ht="15" customHeight="1">
      <c r="A62" s="223"/>
      <c r="B62" s="287" t="s">
        <v>200</v>
      </c>
      <c r="C62" s="231"/>
      <c r="D62" s="232"/>
      <c r="E62" s="233"/>
      <c r="F62" s="233"/>
      <c r="G62" s="232"/>
      <c r="H62" s="233"/>
      <c r="I62" s="232"/>
      <c r="J62" s="233"/>
      <c r="K62" s="232"/>
      <c r="L62" s="233"/>
      <c r="M62" s="232"/>
      <c r="N62" s="233"/>
      <c r="O62" s="233"/>
    </row>
    <row r="63" spans="1:15" s="235" customFormat="1" ht="15" customHeight="1">
      <c r="A63" s="229" t="s">
        <v>545</v>
      </c>
      <c r="B63" s="230" t="s">
        <v>27</v>
      </c>
      <c r="C63" s="231">
        <f>SUM(D63:M63)</f>
        <v>189217</v>
      </c>
      <c r="D63" s="232">
        <v>128475</v>
      </c>
      <c r="E63" s="233">
        <v>0</v>
      </c>
      <c r="F63" s="234">
        <v>350</v>
      </c>
      <c r="G63" s="232">
        <v>743</v>
      </c>
      <c r="H63" s="233">
        <v>0</v>
      </c>
      <c r="I63" s="232">
        <v>195</v>
      </c>
      <c r="J63" s="233">
        <v>0</v>
      </c>
      <c r="K63" s="232">
        <v>56367</v>
      </c>
      <c r="L63" s="232">
        <v>10</v>
      </c>
      <c r="M63" s="232">
        <v>3077</v>
      </c>
      <c r="N63" s="233">
        <v>0</v>
      </c>
      <c r="O63" s="233">
        <v>0</v>
      </c>
    </row>
    <row r="64" spans="1:15" s="235" customFormat="1" ht="15" customHeight="1">
      <c r="A64" s="229"/>
      <c r="B64" s="224" t="s">
        <v>199</v>
      </c>
      <c r="C64" s="231"/>
      <c r="D64" s="232"/>
      <c r="E64" s="233"/>
      <c r="F64" s="233"/>
      <c r="G64" s="232"/>
      <c r="H64" s="233"/>
      <c r="I64" s="232"/>
      <c r="J64" s="233"/>
      <c r="K64" s="232"/>
      <c r="L64" s="233"/>
      <c r="M64" s="232"/>
      <c r="N64" s="233"/>
      <c r="O64" s="233"/>
    </row>
    <row r="65" spans="1:15" s="235" customFormat="1" ht="15" customHeight="1">
      <c r="A65" s="288">
        <v>2022</v>
      </c>
      <c r="B65" s="236" t="s">
        <v>4</v>
      </c>
      <c r="C65" s="231">
        <f>SUM(D65:M65)</f>
        <v>354459</v>
      </c>
      <c r="D65" s="232">
        <v>132676</v>
      </c>
      <c r="E65" s="233">
        <v>0</v>
      </c>
      <c r="F65" s="234">
        <v>350</v>
      </c>
      <c r="G65" s="232">
        <v>743</v>
      </c>
      <c r="H65" s="233">
        <v>0</v>
      </c>
      <c r="I65" s="232">
        <v>195</v>
      </c>
      <c r="J65" s="233">
        <v>0</v>
      </c>
      <c r="K65" s="232">
        <v>217408</v>
      </c>
      <c r="L65" s="232">
        <v>10</v>
      </c>
      <c r="M65" s="232">
        <v>3077</v>
      </c>
      <c r="N65" s="233">
        <v>0</v>
      </c>
      <c r="O65" s="232">
        <v>379687</v>
      </c>
    </row>
    <row r="66" spans="1:15" s="235" customFormat="1" ht="15" customHeight="1">
      <c r="A66" s="223"/>
      <c r="B66" s="287" t="s">
        <v>200</v>
      </c>
      <c r="C66" s="231"/>
      <c r="D66" s="232"/>
      <c r="E66" s="233"/>
      <c r="F66" s="233"/>
      <c r="G66" s="232"/>
      <c r="H66" s="233"/>
      <c r="I66" s="232"/>
      <c r="J66" s="233"/>
      <c r="K66" s="232"/>
      <c r="L66" s="233"/>
      <c r="M66" s="232"/>
      <c r="N66" s="233"/>
      <c r="O66" s="233"/>
    </row>
    <row r="67" spans="1:15" ht="8.25" customHeight="1" thickBot="1">
      <c r="A67" s="93"/>
      <c r="B67" s="94"/>
      <c r="C67" s="34"/>
      <c r="D67" s="35"/>
      <c r="E67" s="2"/>
      <c r="F67" s="35"/>
      <c r="G67" s="35"/>
      <c r="H67" s="2"/>
      <c r="I67" s="35"/>
      <c r="J67" s="2"/>
      <c r="K67" s="35"/>
      <c r="L67" s="2"/>
      <c r="M67" s="35"/>
      <c r="N67" s="2"/>
      <c r="O67" s="2"/>
    </row>
    <row r="68" spans="1:14" ht="16.5">
      <c r="A68" s="99" t="s">
        <v>435</v>
      </c>
      <c r="B68" s="95"/>
      <c r="C68" s="96"/>
      <c r="D68" s="97"/>
      <c r="E68" s="97"/>
      <c r="F68" s="97"/>
      <c r="G68" s="97"/>
      <c r="H68" s="98"/>
      <c r="I68" s="97"/>
      <c r="J68" s="97"/>
      <c r="K68" s="97"/>
      <c r="L68" s="97"/>
      <c r="M68" s="97"/>
      <c r="N68" s="97"/>
    </row>
    <row r="69" spans="1:2" ht="16.5" customHeight="1">
      <c r="A69" s="254" t="s">
        <v>436</v>
      </c>
      <c r="B69" s="95"/>
    </row>
    <row r="71" spans="1:2" ht="16.5">
      <c r="A71" s="101"/>
      <c r="B71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115" zoomScaleNormal="115" zoomScalePageLayoutView="0" workbookViewId="0" topLeftCell="A1">
      <pane ySplit="6" topLeftCell="A24" activePane="bottomLeft" state="frozen"/>
      <selection pane="topLeft" activeCell="A1" sqref="A1"/>
      <selection pane="bottomLeft" activeCell="A32" sqref="A32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6.5">
      <c r="A1" s="3" t="s">
        <v>459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429</v>
      </c>
      <c r="P1" s="4"/>
    </row>
    <row r="2" spans="1:15" ht="30" customHeight="1">
      <c r="A2" s="81" t="s">
        <v>457</v>
      </c>
      <c r="B2" s="81"/>
      <c r="C2" s="82"/>
      <c r="D2" s="82"/>
      <c r="E2" s="82"/>
      <c r="F2" s="82"/>
      <c r="G2" s="82"/>
      <c r="H2" s="194" t="s">
        <v>458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211</v>
      </c>
      <c r="B3" s="86"/>
      <c r="C3" s="82"/>
      <c r="D3" s="82"/>
      <c r="E3" s="82"/>
      <c r="F3" s="82"/>
      <c r="G3" s="82"/>
      <c r="H3" s="86" t="s">
        <v>210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208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3" t="s">
        <v>209</v>
      </c>
    </row>
    <row r="5" spans="1:15" ht="25.5" customHeight="1">
      <c r="A5" s="339" t="s">
        <v>201</v>
      </c>
      <c r="B5" s="327"/>
      <c r="C5" s="150" t="s">
        <v>176</v>
      </c>
      <c r="D5" s="150" t="s">
        <v>202</v>
      </c>
      <c r="E5" s="150" t="s">
        <v>178</v>
      </c>
      <c r="F5" s="150" t="s">
        <v>179</v>
      </c>
      <c r="G5" s="150" t="s">
        <v>180</v>
      </c>
      <c r="H5" s="159" t="s">
        <v>181</v>
      </c>
      <c r="I5" s="150" t="s">
        <v>203</v>
      </c>
      <c r="J5" s="150" t="s">
        <v>54</v>
      </c>
      <c r="K5" s="150" t="s">
        <v>183</v>
      </c>
      <c r="L5" s="150" t="s">
        <v>184</v>
      </c>
      <c r="M5" s="150" t="s">
        <v>32</v>
      </c>
      <c r="N5" s="150" t="s">
        <v>30</v>
      </c>
      <c r="O5" s="126" t="s">
        <v>207</v>
      </c>
    </row>
    <row r="6" spans="1:15" ht="45" customHeight="1" thickBot="1">
      <c r="A6" s="357" t="s">
        <v>204</v>
      </c>
      <c r="B6" s="358"/>
      <c r="C6" s="191" t="s">
        <v>187</v>
      </c>
      <c r="D6" s="192" t="s">
        <v>188</v>
      </c>
      <c r="E6" s="192" t="s">
        <v>189</v>
      </c>
      <c r="F6" s="192" t="s">
        <v>190</v>
      </c>
      <c r="G6" s="191" t="s">
        <v>191</v>
      </c>
      <c r="H6" s="189"/>
      <c r="I6" s="192" t="s">
        <v>205</v>
      </c>
      <c r="J6" s="192" t="s">
        <v>193</v>
      </c>
      <c r="K6" s="192" t="s">
        <v>194</v>
      </c>
      <c r="L6" s="192" t="s">
        <v>206</v>
      </c>
      <c r="M6" s="192" t="s">
        <v>167</v>
      </c>
      <c r="N6" s="189"/>
      <c r="O6" s="190"/>
    </row>
    <row r="7" spans="1:15" ht="33.75" customHeight="1" hidden="1">
      <c r="A7" s="104" t="s">
        <v>402</v>
      </c>
      <c r="B7" s="245" t="s">
        <v>306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344</v>
      </c>
      <c r="B8" s="246" t="s">
        <v>307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 hidden="1">
      <c r="A9" s="106" t="s">
        <v>319</v>
      </c>
      <c r="B9" s="214" t="s">
        <v>320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 hidden="1">
      <c r="A10" s="104" t="s">
        <v>321</v>
      </c>
      <c r="B10" s="213" t="s">
        <v>322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 hidden="1">
      <c r="A11" s="104" t="s">
        <v>323</v>
      </c>
      <c r="B11" s="213" t="s">
        <v>324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 hidden="1">
      <c r="A12" s="104" t="s">
        <v>325</v>
      </c>
      <c r="B12" s="213" t="s">
        <v>326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 hidden="1">
      <c r="A13" s="104" t="s">
        <v>327</v>
      </c>
      <c r="B13" s="213" t="s">
        <v>328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318</v>
      </c>
      <c r="B14" s="213" t="s">
        <v>290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376</v>
      </c>
      <c r="B15" s="213" t="s">
        <v>374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382</v>
      </c>
      <c r="B16" s="213" t="s">
        <v>381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383</v>
      </c>
      <c r="B17" s="213" t="s">
        <v>384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388</v>
      </c>
      <c r="B18" s="213" t="s">
        <v>389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393</v>
      </c>
      <c r="B19" s="213" t="s">
        <v>396</v>
      </c>
      <c r="C19" s="105">
        <f aca="true" t="shared" si="2" ref="C19:C27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7" customFormat="1" ht="33.75" customHeight="1">
      <c r="A20" s="237" t="s">
        <v>400</v>
      </c>
      <c r="B20" s="238" t="s">
        <v>401</v>
      </c>
      <c r="C20" s="239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7">
        <v>0</v>
      </c>
    </row>
    <row r="21" spans="1:15" ht="33.75" customHeight="1">
      <c r="A21" s="237" t="s">
        <v>415</v>
      </c>
      <c r="B21" s="238" t="s">
        <v>416</v>
      </c>
      <c r="C21" s="239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7">
        <v>0</v>
      </c>
    </row>
    <row r="22" spans="1:15" ht="33.75" customHeight="1">
      <c r="A22" s="237" t="s">
        <v>417</v>
      </c>
      <c r="B22" s="238" t="s">
        <v>419</v>
      </c>
      <c r="C22" s="239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7">
        <v>0</v>
      </c>
    </row>
    <row r="23" spans="1:15" ht="33.75" customHeight="1">
      <c r="A23" s="237" t="s">
        <v>439</v>
      </c>
      <c r="B23" s="238" t="s">
        <v>440</v>
      </c>
      <c r="C23" s="239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7">
        <v>0</v>
      </c>
    </row>
    <row r="24" spans="1:15" ht="33.75" customHeight="1">
      <c r="A24" s="237" t="s">
        <v>445</v>
      </c>
      <c r="B24" s="238" t="s">
        <v>446</v>
      </c>
      <c r="C24" s="239">
        <f t="shared" si="2"/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4">
        <v>0</v>
      </c>
    </row>
    <row r="25" spans="1:15" ht="33.75" customHeight="1">
      <c r="A25" s="237" t="s">
        <v>474</v>
      </c>
      <c r="B25" s="238" t="s">
        <v>475</v>
      </c>
      <c r="C25" s="239">
        <f t="shared" si="2"/>
        <v>215648.23299999998</v>
      </c>
      <c r="D25" s="67">
        <v>125137.574</v>
      </c>
      <c r="E25" s="67">
        <v>0</v>
      </c>
      <c r="F25" s="67">
        <v>295.865</v>
      </c>
      <c r="G25" s="67">
        <v>1105.078</v>
      </c>
      <c r="H25" s="67"/>
      <c r="I25" s="67">
        <v>292.336</v>
      </c>
      <c r="J25" s="67">
        <v>0</v>
      </c>
      <c r="K25" s="67">
        <v>84257.034</v>
      </c>
      <c r="L25" s="67">
        <v>0</v>
      </c>
      <c r="M25" s="67">
        <v>4560.346</v>
      </c>
      <c r="N25" s="67"/>
      <c r="O25" s="264"/>
    </row>
    <row r="26" spans="1:15" ht="33.75" customHeight="1">
      <c r="A26" s="237" t="s">
        <v>480</v>
      </c>
      <c r="B26" s="272" t="s">
        <v>483</v>
      </c>
      <c r="C26" s="239">
        <f t="shared" si="2"/>
        <v>332004.276</v>
      </c>
      <c r="D26" s="67">
        <v>129065.903</v>
      </c>
      <c r="E26" s="67">
        <v>0</v>
      </c>
      <c r="F26" s="67">
        <v>472.294</v>
      </c>
      <c r="G26" s="67">
        <v>913.147</v>
      </c>
      <c r="H26" s="67"/>
      <c r="I26" s="67">
        <v>203.935</v>
      </c>
      <c r="J26" s="67">
        <v>0</v>
      </c>
      <c r="K26" s="67">
        <v>194837.537</v>
      </c>
      <c r="L26" s="67">
        <v>0</v>
      </c>
      <c r="M26" s="67">
        <v>6511.46</v>
      </c>
      <c r="N26" s="67"/>
      <c r="O26" s="264">
        <v>0</v>
      </c>
    </row>
    <row r="27" spans="1:15" ht="33.75" customHeight="1">
      <c r="A27" s="237" t="s">
        <v>486</v>
      </c>
      <c r="B27" s="272" t="s">
        <v>489</v>
      </c>
      <c r="C27" s="239">
        <f t="shared" si="2"/>
        <v>271820.783</v>
      </c>
      <c r="D27" s="67">
        <v>145131.976</v>
      </c>
      <c r="E27" s="67">
        <v>0</v>
      </c>
      <c r="F27" s="67">
        <v>1762.227</v>
      </c>
      <c r="G27" s="67">
        <v>765.539</v>
      </c>
      <c r="H27" s="67"/>
      <c r="I27" s="67">
        <v>183.733</v>
      </c>
      <c r="J27" s="67">
        <v>0</v>
      </c>
      <c r="K27" s="67">
        <v>121107.361</v>
      </c>
      <c r="L27" s="67">
        <v>0</v>
      </c>
      <c r="M27" s="67">
        <v>2869.947</v>
      </c>
      <c r="N27" s="67"/>
      <c r="O27" s="264">
        <v>0</v>
      </c>
    </row>
    <row r="28" spans="1:15" ht="33.75" customHeight="1">
      <c r="A28" s="237" t="s">
        <v>497</v>
      </c>
      <c r="B28" s="272" t="s">
        <v>498</v>
      </c>
      <c r="C28" s="239">
        <f>SUM(D28:O28)</f>
        <v>304820.183</v>
      </c>
      <c r="D28" s="67">
        <v>140278.48</v>
      </c>
      <c r="E28" s="67">
        <v>0</v>
      </c>
      <c r="F28" s="67">
        <v>234.16</v>
      </c>
      <c r="G28" s="67">
        <v>1117.84</v>
      </c>
      <c r="H28" s="67"/>
      <c r="I28" s="67">
        <v>301.46</v>
      </c>
      <c r="J28" s="67">
        <v>0</v>
      </c>
      <c r="K28" s="67">
        <v>159110.132</v>
      </c>
      <c r="L28" s="67">
        <v>0</v>
      </c>
      <c r="M28" s="67">
        <v>3778.111</v>
      </c>
      <c r="N28" s="67"/>
      <c r="O28" s="264">
        <v>0</v>
      </c>
    </row>
    <row r="29" spans="1:15" ht="33.75" customHeight="1">
      <c r="A29" s="237" t="s">
        <v>500</v>
      </c>
      <c r="B29" s="272" t="s">
        <v>502</v>
      </c>
      <c r="C29" s="239">
        <f>SUM(D29:O29)</f>
        <v>527971.6730000001</v>
      </c>
      <c r="D29" s="67">
        <v>127396.975</v>
      </c>
      <c r="E29" s="67">
        <v>0</v>
      </c>
      <c r="F29" s="67">
        <v>320.844</v>
      </c>
      <c r="G29" s="67">
        <v>1091.614</v>
      </c>
      <c r="H29" s="67"/>
      <c r="I29" s="67">
        <v>1111.806</v>
      </c>
      <c r="J29" s="67">
        <v>0</v>
      </c>
      <c r="K29" s="67">
        <v>394448.645</v>
      </c>
      <c r="L29" s="67">
        <v>0</v>
      </c>
      <c r="M29" s="67">
        <v>3601.789</v>
      </c>
      <c r="N29" s="67"/>
      <c r="O29" s="264">
        <v>0</v>
      </c>
    </row>
    <row r="30" spans="1:15" ht="33.75" customHeight="1">
      <c r="A30" s="237" t="s">
        <v>507</v>
      </c>
      <c r="B30" s="272" t="s">
        <v>505</v>
      </c>
      <c r="C30" s="239">
        <f>SUM(D30:O30)</f>
        <v>275624.99600000004</v>
      </c>
      <c r="D30" s="67">
        <v>125502.4</v>
      </c>
      <c r="E30" s="67">
        <v>0</v>
      </c>
      <c r="F30" s="67">
        <v>457.984</v>
      </c>
      <c r="G30" s="67">
        <v>2455.317</v>
      </c>
      <c r="H30" s="67"/>
      <c r="I30" s="67">
        <v>282.709</v>
      </c>
      <c r="J30" s="67">
        <v>0</v>
      </c>
      <c r="K30" s="67">
        <v>143220.871</v>
      </c>
      <c r="L30" s="67">
        <v>62.4</v>
      </c>
      <c r="M30" s="67">
        <v>3643.315</v>
      </c>
      <c r="N30" s="67"/>
      <c r="O30" s="264">
        <v>0</v>
      </c>
    </row>
    <row r="31" spans="1:15" ht="33.75" customHeight="1">
      <c r="A31" s="237" t="s">
        <v>543</v>
      </c>
      <c r="B31" s="272" t="s">
        <v>544</v>
      </c>
      <c r="C31" s="239">
        <f>SUM(D31:O31)</f>
        <v>363856.144</v>
      </c>
      <c r="D31" s="67">
        <v>149360</v>
      </c>
      <c r="E31" s="67">
        <v>0</v>
      </c>
      <c r="F31" s="67">
        <v>379.088</v>
      </c>
      <c r="G31" s="67">
        <v>1484.256</v>
      </c>
      <c r="H31" s="67">
        <v>0</v>
      </c>
      <c r="I31" s="67">
        <v>411.072</v>
      </c>
      <c r="J31" s="67">
        <v>0</v>
      </c>
      <c r="K31" s="67">
        <v>209573.929</v>
      </c>
      <c r="L31" s="67">
        <v>24.8</v>
      </c>
      <c r="M31" s="67">
        <v>2622.999</v>
      </c>
      <c r="N31" s="67"/>
      <c r="O31" s="264">
        <v>0</v>
      </c>
    </row>
    <row r="32" spans="1:15" ht="19.5" customHeight="1" thickBot="1">
      <c r="A32" s="261"/>
      <c r="B32" s="268"/>
      <c r="C32" s="262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263"/>
    </row>
    <row r="33" spans="1:14" ht="24.75" customHeight="1">
      <c r="A33" s="99" t="s">
        <v>435</v>
      </c>
      <c r="B33" s="108"/>
      <c r="C33" s="95"/>
      <c r="D33" s="109"/>
      <c r="E33" s="109"/>
      <c r="F33" s="109"/>
      <c r="G33" s="109"/>
      <c r="H33" s="110"/>
      <c r="I33" s="109"/>
      <c r="J33" s="109"/>
      <c r="K33" s="109"/>
      <c r="L33" s="109"/>
      <c r="M33" s="109"/>
      <c r="N33" s="109"/>
    </row>
    <row r="34" spans="1:14" ht="15" customHeight="1">
      <c r="A34" s="254" t="s">
        <v>433</v>
      </c>
      <c r="B34" s="99"/>
      <c r="C34" s="95"/>
      <c r="D34" s="109"/>
      <c r="E34" s="109"/>
      <c r="F34" s="109"/>
      <c r="G34" s="109"/>
      <c r="H34" s="110"/>
      <c r="I34" s="109"/>
      <c r="J34" s="109"/>
      <c r="K34" s="109"/>
      <c r="L34" s="109"/>
      <c r="M34" s="109"/>
      <c r="N34" s="109"/>
    </row>
    <row r="35" spans="2:14" ht="16.5">
      <c r="B35" s="100"/>
      <c r="C35" s="95"/>
      <c r="D35" s="109"/>
      <c r="E35" s="109"/>
      <c r="F35" s="109"/>
      <c r="G35" s="109"/>
      <c r="H35" s="110"/>
      <c r="I35" s="109"/>
      <c r="J35" s="109"/>
      <c r="K35" s="109"/>
      <c r="L35" s="109"/>
      <c r="M35" s="109"/>
      <c r="N35" s="109"/>
    </row>
    <row r="37" spans="1:14" ht="16.5">
      <c r="A37" s="101"/>
      <c r="B37" s="101"/>
      <c r="C37" s="102"/>
      <c r="D37" s="102"/>
      <c r="E37" s="102"/>
      <c r="F37" s="102"/>
      <c r="G37" s="102"/>
      <c r="H37" s="101"/>
      <c r="I37" s="102"/>
      <c r="J37" s="102"/>
      <c r="K37" s="102"/>
      <c r="L37" s="102"/>
      <c r="M37" s="102"/>
      <c r="N37" s="102"/>
    </row>
  </sheetData>
  <sheetProtection/>
  <mergeCells count="2">
    <mergeCell ref="A5:B5"/>
    <mergeCell ref="A6:B6"/>
  </mergeCells>
  <printOptions/>
  <pageMargins left="0.7480314960629921" right="0.7480314960629921" top="0.5905511811023623" bottom="0.31496062992125984" header="0.5118110236220472" footer="0.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5"/>
  <sheetViews>
    <sheetView tabSelected="1" zoomScalePageLayoutView="0" workbookViewId="0" topLeftCell="A1">
      <selection activeCell="C48" sqref="C48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50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6.5">
      <c r="A1" s="3" t="s">
        <v>390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460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403</v>
      </c>
      <c r="B2" s="112"/>
      <c r="C2" s="112"/>
      <c r="D2" s="112"/>
      <c r="E2" s="112"/>
      <c r="F2" s="112"/>
      <c r="G2" s="112"/>
      <c r="H2" s="112"/>
      <c r="I2" s="195" t="s">
        <v>404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225</v>
      </c>
      <c r="B3" s="116"/>
      <c r="C3" s="112"/>
      <c r="D3" s="112"/>
      <c r="E3" s="112"/>
      <c r="F3" s="112"/>
      <c r="G3" s="112"/>
      <c r="H3" s="112"/>
      <c r="I3" s="115" t="s">
        <v>227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212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39" t="s">
        <v>175</v>
      </c>
      <c r="B5" s="327"/>
      <c r="C5" s="150" t="s">
        <v>213</v>
      </c>
      <c r="D5" s="150" t="s">
        <v>226</v>
      </c>
      <c r="E5" s="150" t="s">
        <v>214</v>
      </c>
      <c r="F5" s="150" t="s">
        <v>215</v>
      </c>
      <c r="G5" s="150" t="s">
        <v>221</v>
      </c>
      <c r="H5" s="150" t="s">
        <v>222</v>
      </c>
      <c r="I5" s="159" t="s">
        <v>223</v>
      </c>
      <c r="J5" s="150" t="s">
        <v>224</v>
      </c>
      <c r="K5" s="150" t="s">
        <v>44</v>
      </c>
      <c r="L5" s="150" t="s">
        <v>216</v>
      </c>
      <c r="M5" s="150" t="s">
        <v>217</v>
      </c>
      <c r="N5" s="150" t="s">
        <v>220</v>
      </c>
      <c r="O5" s="150" t="s">
        <v>219</v>
      </c>
      <c r="P5" s="150" t="s">
        <v>218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204</v>
      </c>
      <c r="B6" s="123"/>
      <c r="C6" s="154" t="s">
        <v>187</v>
      </c>
      <c r="D6" s="152" t="s">
        <v>123</v>
      </c>
      <c r="E6" s="153" t="s">
        <v>228</v>
      </c>
      <c r="F6" s="152" t="s">
        <v>229</v>
      </c>
      <c r="G6" s="152" t="s">
        <v>230</v>
      </c>
      <c r="H6" s="154" t="s">
        <v>231</v>
      </c>
      <c r="I6" s="152" t="s">
        <v>232</v>
      </c>
      <c r="J6" s="152" t="s">
        <v>233</v>
      </c>
      <c r="K6" s="152" t="s">
        <v>234</v>
      </c>
      <c r="L6" s="152" t="s">
        <v>235</v>
      </c>
      <c r="M6" s="152" t="s">
        <v>236</v>
      </c>
      <c r="N6" s="152" t="s">
        <v>139</v>
      </c>
      <c r="O6" s="152" t="s">
        <v>237</v>
      </c>
      <c r="P6" s="152" t="s">
        <v>238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 hidden="1">
      <c r="A7" s="88" t="s">
        <v>329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 hidden="1">
      <c r="A8" s="88"/>
      <c r="B8" s="158" t="s">
        <v>239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 hidden="1">
      <c r="A9" s="138" t="s">
        <v>330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 hidden="1">
      <c r="A10" s="76"/>
      <c r="B10" s="188" t="s">
        <v>240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9" customHeight="1">
      <c r="A11" s="76"/>
      <c r="B11" s="281"/>
      <c r="C11" s="66"/>
      <c r="D11" s="66"/>
      <c r="E11" s="66"/>
      <c r="F11" s="66"/>
      <c r="G11" s="66"/>
      <c r="H11" s="66"/>
      <c r="I11" s="1"/>
      <c r="J11" s="66"/>
      <c r="K11" s="66"/>
      <c r="L11" s="66"/>
      <c r="M11" s="66"/>
      <c r="N11" s="66"/>
      <c r="O11" s="119"/>
      <c r="P11" s="119"/>
    </row>
    <row r="12" spans="1:16" ht="15" customHeight="1" hidden="1">
      <c r="A12" s="90" t="s">
        <v>331</v>
      </c>
      <c r="B12" s="278" t="s">
        <v>27</v>
      </c>
      <c r="C12" s="66">
        <f>SUM(D12:P12)+SUM('6-3鄉預出續'!C12:O12)</f>
        <v>150371</v>
      </c>
      <c r="D12" s="66">
        <v>8445</v>
      </c>
      <c r="E12" s="66">
        <v>49095</v>
      </c>
      <c r="F12" s="66">
        <v>8496</v>
      </c>
      <c r="G12" s="66">
        <v>108</v>
      </c>
      <c r="H12" s="66">
        <v>1170</v>
      </c>
      <c r="I12" s="1">
        <v>0</v>
      </c>
      <c r="J12" s="66">
        <v>1269</v>
      </c>
      <c r="K12" s="66">
        <v>7076</v>
      </c>
      <c r="L12" s="66">
        <v>0</v>
      </c>
      <c r="M12" s="66">
        <v>41100</v>
      </c>
      <c r="N12" s="66">
        <v>7426</v>
      </c>
      <c r="O12" s="118">
        <v>23</v>
      </c>
      <c r="P12" s="118">
        <v>1354</v>
      </c>
    </row>
    <row r="13" spans="1:16" ht="15" customHeight="1" hidden="1">
      <c r="A13" s="90" t="s">
        <v>332</v>
      </c>
      <c r="B13" s="279" t="s">
        <v>239</v>
      </c>
      <c r="C13" s="66"/>
      <c r="D13" s="66"/>
      <c r="E13" s="66"/>
      <c r="F13" s="66"/>
      <c r="G13" s="66"/>
      <c r="H13" s="66"/>
      <c r="I13" s="1"/>
      <c r="J13" s="66"/>
      <c r="K13" s="66"/>
      <c r="L13" s="66"/>
      <c r="M13" s="66"/>
      <c r="N13" s="66"/>
      <c r="O13" s="118"/>
      <c r="P13" s="118"/>
    </row>
    <row r="14" spans="1:16" ht="15" customHeight="1" hidden="1">
      <c r="A14" s="210" t="s">
        <v>333</v>
      </c>
      <c r="B14" s="280" t="s">
        <v>4</v>
      </c>
      <c r="C14" s="66">
        <f>SUM(D14:P14)+SUM('6-3鄉預出續'!C14:O14)</f>
        <v>175158</v>
      </c>
      <c r="D14" s="66">
        <v>13633</v>
      </c>
      <c r="E14" s="66">
        <v>44260</v>
      </c>
      <c r="F14" s="66">
        <v>8907</v>
      </c>
      <c r="G14" s="66">
        <v>88</v>
      </c>
      <c r="H14" s="66">
        <v>740</v>
      </c>
      <c r="I14" s="1">
        <v>0</v>
      </c>
      <c r="J14" s="66">
        <v>491</v>
      </c>
      <c r="K14" s="66">
        <v>6850</v>
      </c>
      <c r="L14" s="66">
        <v>0</v>
      </c>
      <c r="M14" s="66">
        <v>72780</v>
      </c>
      <c r="N14" s="66">
        <v>2926</v>
      </c>
      <c r="O14" s="119">
        <v>15</v>
      </c>
      <c r="P14" s="119">
        <v>1406</v>
      </c>
    </row>
    <row r="15" spans="1:16" ht="15" customHeight="1" hidden="1">
      <c r="A15" s="91"/>
      <c r="B15" s="281" t="s">
        <v>240</v>
      </c>
      <c r="C15" s="66"/>
      <c r="D15" s="66"/>
      <c r="E15" s="66"/>
      <c r="F15" s="66"/>
      <c r="G15" s="66"/>
      <c r="H15" s="66"/>
      <c r="I15" s="1"/>
      <c r="J15" s="66"/>
      <c r="K15" s="66"/>
      <c r="L15" s="66"/>
      <c r="M15" s="66"/>
      <c r="N15" s="66"/>
      <c r="O15" s="119"/>
      <c r="P15" s="119"/>
    </row>
    <row r="16" spans="1:16" ht="15" customHeight="1" hidden="1">
      <c r="A16" s="88" t="s">
        <v>334</v>
      </c>
      <c r="B16" s="278" t="s">
        <v>27</v>
      </c>
      <c r="C16" s="66">
        <f>SUM(D16:P16)+SUM('6-3鄉預出續'!C16:O16)</f>
        <v>76279</v>
      </c>
      <c r="D16" s="66">
        <v>11375</v>
      </c>
      <c r="E16" s="66">
        <v>33195</v>
      </c>
      <c r="F16" s="66">
        <v>4103</v>
      </c>
      <c r="G16" s="66">
        <v>43</v>
      </c>
      <c r="H16" s="66">
        <v>9</v>
      </c>
      <c r="I16" s="1">
        <v>0</v>
      </c>
      <c r="J16" s="66">
        <v>294</v>
      </c>
      <c r="K16" s="66">
        <v>3913</v>
      </c>
      <c r="L16" s="66">
        <v>0</v>
      </c>
      <c r="M16" s="66">
        <v>4000</v>
      </c>
      <c r="N16" s="66">
        <v>499</v>
      </c>
      <c r="O16" s="120">
        <v>0</v>
      </c>
      <c r="P16" s="118">
        <v>621</v>
      </c>
    </row>
    <row r="17" spans="1:16" ht="15" customHeight="1" hidden="1">
      <c r="A17" s="88"/>
      <c r="B17" s="279" t="s">
        <v>239</v>
      </c>
      <c r="C17" s="66"/>
      <c r="D17" s="66"/>
      <c r="E17" s="66"/>
      <c r="F17" s="66"/>
      <c r="G17" s="66"/>
      <c r="H17" s="66"/>
      <c r="I17" s="1"/>
      <c r="J17" s="66"/>
      <c r="K17" s="66"/>
      <c r="L17" s="66"/>
      <c r="M17" s="66"/>
      <c r="N17" s="66"/>
      <c r="O17" s="120"/>
      <c r="P17" s="118"/>
    </row>
    <row r="18" spans="1:16" ht="15" customHeight="1" hidden="1">
      <c r="A18" s="138" t="s">
        <v>335</v>
      </c>
      <c r="B18" s="280" t="s">
        <v>4</v>
      </c>
      <c r="C18" s="66">
        <f>SUM(D18:P18)+SUM('6-3鄉預出續'!C18:O18)</f>
        <v>84363</v>
      </c>
      <c r="D18" s="66">
        <v>11375</v>
      </c>
      <c r="E18" s="66">
        <v>30195</v>
      </c>
      <c r="F18" s="66">
        <v>6303</v>
      </c>
      <c r="G18" s="66">
        <v>43</v>
      </c>
      <c r="H18" s="66">
        <v>274</v>
      </c>
      <c r="I18" s="1">
        <v>0</v>
      </c>
      <c r="J18" s="66">
        <v>294</v>
      </c>
      <c r="K18" s="66">
        <v>468</v>
      </c>
      <c r="L18" s="66">
        <v>0</v>
      </c>
      <c r="M18" s="66">
        <v>16790</v>
      </c>
      <c r="N18" s="66">
        <v>499</v>
      </c>
      <c r="O18" s="120">
        <v>0</v>
      </c>
      <c r="P18" s="119">
        <v>606</v>
      </c>
    </row>
    <row r="19" spans="1:16" ht="15" customHeight="1" hidden="1">
      <c r="A19" s="76"/>
      <c r="B19" s="281" t="s">
        <v>240</v>
      </c>
      <c r="C19" s="66"/>
      <c r="D19" s="66"/>
      <c r="E19" s="66"/>
      <c r="F19" s="66"/>
      <c r="G19" s="66"/>
      <c r="H19" s="66"/>
      <c r="I19" s="1"/>
      <c r="J19" s="66"/>
      <c r="K19" s="66"/>
      <c r="L19" s="66"/>
      <c r="M19" s="66"/>
      <c r="N19" s="66"/>
      <c r="O19" s="120"/>
      <c r="P19" s="119"/>
    </row>
    <row r="20" spans="1:16" ht="15" customHeight="1" hidden="1">
      <c r="A20" s="88" t="s">
        <v>336</v>
      </c>
      <c r="B20" s="278" t="s">
        <v>27</v>
      </c>
      <c r="C20" s="66">
        <f>SUM(D20:P20)+SUM('6-3鄉預出續'!C20:O20)</f>
        <v>75523</v>
      </c>
      <c r="D20" s="66">
        <v>12162</v>
      </c>
      <c r="E20" s="66">
        <v>36182</v>
      </c>
      <c r="F20" s="66">
        <v>5383</v>
      </c>
      <c r="G20" s="66">
        <v>51</v>
      </c>
      <c r="H20" s="66">
        <v>402</v>
      </c>
      <c r="I20" s="1">
        <v>0</v>
      </c>
      <c r="J20" s="66">
        <v>380</v>
      </c>
      <c r="K20" s="66">
        <v>628</v>
      </c>
      <c r="L20" s="66">
        <v>0</v>
      </c>
      <c r="M20" s="66">
        <v>70</v>
      </c>
      <c r="N20" s="66">
        <v>814</v>
      </c>
      <c r="O20" s="66">
        <v>1</v>
      </c>
      <c r="P20" s="66">
        <v>895</v>
      </c>
    </row>
    <row r="21" spans="1:16" ht="15" customHeight="1" hidden="1">
      <c r="A21" s="88"/>
      <c r="B21" s="279" t="s">
        <v>239</v>
      </c>
      <c r="C21" s="66"/>
      <c r="D21" s="66"/>
      <c r="E21" s="66"/>
      <c r="F21" s="66"/>
      <c r="G21" s="66"/>
      <c r="H21" s="66"/>
      <c r="I21" s="1"/>
      <c r="J21" s="66"/>
      <c r="K21" s="66"/>
      <c r="L21" s="66"/>
      <c r="M21" s="66"/>
      <c r="N21" s="66"/>
      <c r="O21" s="66"/>
      <c r="P21" s="66"/>
    </row>
    <row r="22" spans="1:16" s="73" customFormat="1" ht="15" customHeight="1" hidden="1">
      <c r="A22" s="211" t="s">
        <v>337</v>
      </c>
      <c r="B22" s="280" t="s">
        <v>4</v>
      </c>
      <c r="C22" s="66">
        <f>SUM(D22:P22)+SUM('6-3鄉預出續'!C22:O22)</f>
        <v>130075</v>
      </c>
      <c r="D22" s="66">
        <v>12372</v>
      </c>
      <c r="E22" s="66">
        <v>38902</v>
      </c>
      <c r="F22" s="66">
        <v>8713</v>
      </c>
      <c r="G22" s="66">
        <v>74</v>
      </c>
      <c r="H22" s="66">
        <v>752</v>
      </c>
      <c r="I22" s="1">
        <v>0</v>
      </c>
      <c r="J22" s="66">
        <v>380</v>
      </c>
      <c r="K22" s="66">
        <v>2022</v>
      </c>
      <c r="L22" s="66">
        <v>0</v>
      </c>
      <c r="M22" s="66">
        <v>23337</v>
      </c>
      <c r="N22" s="66">
        <v>814</v>
      </c>
      <c r="O22" s="66">
        <v>1</v>
      </c>
      <c r="P22" s="66">
        <v>1125</v>
      </c>
    </row>
    <row r="23" spans="1:16" s="73" customFormat="1" ht="15" customHeight="1" hidden="1">
      <c r="A23" s="92"/>
      <c r="B23" s="281" t="s">
        <v>240</v>
      </c>
      <c r="C23" s="66"/>
      <c r="D23" s="66"/>
      <c r="E23" s="66"/>
      <c r="F23" s="66"/>
      <c r="G23" s="66"/>
      <c r="H23" s="66"/>
      <c r="I23" s="1"/>
      <c r="J23" s="66"/>
      <c r="K23" s="66"/>
      <c r="L23" s="66"/>
      <c r="M23" s="66"/>
      <c r="N23" s="66"/>
      <c r="O23" s="66"/>
      <c r="P23" s="66"/>
    </row>
    <row r="24" spans="1:16" ht="15" customHeight="1">
      <c r="A24" s="76" t="s">
        <v>338</v>
      </c>
      <c r="B24" s="285" t="s">
        <v>499</v>
      </c>
      <c r="C24" s="66">
        <f>SUM(D24:P24)+SUM('6-3鄉預出續'!C24:O24)</f>
        <v>81971</v>
      </c>
      <c r="D24" s="66">
        <v>12203</v>
      </c>
      <c r="E24" s="66">
        <v>40709</v>
      </c>
      <c r="F24" s="66">
        <v>5155</v>
      </c>
      <c r="G24" s="66">
        <v>136</v>
      </c>
      <c r="H24" s="66">
        <v>990</v>
      </c>
      <c r="I24" s="66">
        <v>0</v>
      </c>
      <c r="J24" s="66">
        <v>380</v>
      </c>
      <c r="K24" s="66">
        <v>1082</v>
      </c>
      <c r="L24" s="66">
        <v>0</v>
      </c>
      <c r="M24" s="66">
        <v>920</v>
      </c>
      <c r="N24" s="66">
        <v>1294</v>
      </c>
      <c r="O24" s="119">
        <v>17</v>
      </c>
      <c r="P24" s="119">
        <v>1560</v>
      </c>
    </row>
    <row r="25" spans="1:16" ht="15" customHeight="1">
      <c r="A25" s="76"/>
      <c r="B25" s="279" t="s">
        <v>239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119"/>
      <c r="P25" s="119"/>
    </row>
    <row r="26" spans="1:16" ht="15" customHeight="1">
      <c r="A26" s="209" t="s">
        <v>339</v>
      </c>
      <c r="B26" s="278" t="s">
        <v>53</v>
      </c>
      <c r="C26" s="66">
        <f>SUM(D26:P26)+SUM('6-3鄉預出續'!C26:O26)</f>
        <v>185966</v>
      </c>
      <c r="D26" s="66">
        <v>12464</v>
      </c>
      <c r="E26" s="66">
        <v>41729</v>
      </c>
      <c r="F26" s="66">
        <v>12277</v>
      </c>
      <c r="G26" s="66">
        <v>136</v>
      </c>
      <c r="H26" s="66">
        <v>990</v>
      </c>
      <c r="I26" s="66">
        <v>0</v>
      </c>
      <c r="J26" s="66">
        <v>380</v>
      </c>
      <c r="K26" s="66">
        <v>3291</v>
      </c>
      <c r="L26" s="66">
        <v>0</v>
      </c>
      <c r="M26" s="66">
        <v>93803</v>
      </c>
      <c r="N26" s="66">
        <v>1294</v>
      </c>
      <c r="O26" s="66">
        <v>17</v>
      </c>
      <c r="P26" s="66">
        <v>1860</v>
      </c>
    </row>
    <row r="27" spans="1:16" ht="15" customHeight="1">
      <c r="A27" s="88"/>
      <c r="B27" s="281" t="s">
        <v>240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5" customHeight="1">
      <c r="A28" s="76" t="s">
        <v>340</v>
      </c>
      <c r="B28" s="285" t="s">
        <v>499</v>
      </c>
      <c r="C28" s="66">
        <f>SUM(D28:P28)+SUM('6-3鄉預出續'!C28:O28)</f>
        <v>117706</v>
      </c>
      <c r="D28" s="66">
        <v>12765</v>
      </c>
      <c r="E28" s="66">
        <v>40298</v>
      </c>
      <c r="F28" s="66">
        <v>5600</v>
      </c>
      <c r="G28" s="66">
        <v>176</v>
      </c>
      <c r="H28" s="66">
        <v>1430</v>
      </c>
      <c r="I28" s="66">
        <v>0</v>
      </c>
      <c r="J28" s="66">
        <v>492</v>
      </c>
      <c r="K28" s="66">
        <v>1456</v>
      </c>
      <c r="L28" s="66">
        <v>0</v>
      </c>
      <c r="M28" s="66">
        <v>29416</v>
      </c>
      <c r="N28" s="66">
        <v>1298</v>
      </c>
      <c r="O28" s="119">
        <v>20</v>
      </c>
      <c r="P28" s="119">
        <v>80</v>
      </c>
    </row>
    <row r="29" spans="1:16" ht="15" customHeight="1">
      <c r="A29" s="76"/>
      <c r="B29" s="279" t="s">
        <v>239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19"/>
      <c r="P29" s="119"/>
    </row>
    <row r="30" spans="1:16" ht="15" customHeight="1">
      <c r="A30" s="209" t="s">
        <v>341</v>
      </c>
      <c r="B30" s="278" t="s">
        <v>53</v>
      </c>
      <c r="C30" s="66">
        <f>SUM(D30:P30)+SUM('6-3鄉預出續'!C30:O30)</f>
        <v>159653</v>
      </c>
      <c r="D30" s="66">
        <v>13465</v>
      </c>
      <c r="E30" s="66">
        <v>42388</v>
      </c>
      <c r="F30" s="66">
        <v>12924</v>
      </c>
      <c r="G30" s="66">
        <v>176</v>
      </c>
      <c r="H30" s="66">
        <v>1780</v>
      </c>
      <c r="I30" s="66">
        <v>0</v>
      </c>
      <c r="J30" s="66">
        <v>492</v>
      </c>
      <c r="K30" s="66">
        <v>5891</v>
      </c>
      <c r="L30" s="66">
        <v>0</v>
      </c>
      <c r="M30" s="66">
        <v>55766</v>
      </c>
      <c r="N30" s="66">
        <v>813</v>
      </c>
      <c r="O30" s="66">
        <v>20</v>
      </c>
      <c r="P30" s="66">
        <v>330</v>
      </c>
    </row>
    <row r="31" spans="1:16" ht="15" customHeight="1">
      <c r="A31" s="88"/>
      <c r="B31" s="281" t="s">
        <v>240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 customHeight="1">
      <c r="A32" s="76" t="s">
        <v>342</v>
      </c>
      <c r="B32" s="285" t="s">
        <v>499</v>
      </c>
      <c r="C32" s="66">
        <f>SUM(D32:P32)+SUM('6-3鄉預出續'!C32:O32)</f>
        <v>90781</v>
      </c>
      <c r="D32" s="66">
        <v>13323</v>
      </c>
      <c r="E32" s="66">
        <v>42297</v>
      </c>
      <c r="F32" s="66">
        <v>6328</v>
      </c>
      <c r="G32" s="66">
        <v>176</v>
      </c>
      <c r="H32" s="66">
        <v>782</v>
      </c>
      <c r="I32" s="66">
        <v>0</v>
      </c>
      <c r="J32" s="66">
        <v>498</v>
      </c>
      <c r="K32" s="66">
        <v>1001</v>
      </c>
      <c r="L32" s="66">
        <v>0</v>
      </c>
      <c r="M32" s="66">
        <v>900</v>
      </c>
      <c r="N32" s="66">
        <v>3268</v>
      </c>
      <c r="O32" s="119">
        <v>20</v>
      </c>
      <c r="P32" s="119">
        <v>1730</v>
      </c>
    </row>
    <row r="33" spans="1:16" ht="15" customHeight="1">
      <c r="A33" s="76"/>
      <c r="B33" s="279" t="s">
        <v>239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19"/>
      <c r="P33" s="119"/>
    </row>
    <row r="34" spans="1:16" ht="15" customHeight="1">
      <c r="A34" s="209" t="s">
        <v>373</v>
      </c>
      <c r="B34" s="278" t="s">
        <v>53</v>
      </c>
      <c r="C34" s="66">
        <f>SUM(D34:P34)+SUM('6-3鄉預出續'!C34:O34)</f>
        <v>180711</v>
      </c>
      <c r="D34" s="66">
        <v>13891</v>
      </c>
      <c r="E34" s="66">
        <v>43347</v>
      </c>
      <c r="F34" s="66">
        <v>11050</v>
      </c>
      <c r="G34" s="66">
        <v>176</v>
      </c>
      <c r="H34" s="66">
        <v>782</v>
      </c>
      <c r="I34" s="66">
        <v>0</v>
      </c>
      <c r="J34" s="66">
        <v>498</v>
      </c>
      <c r="K34" s="66">
        <v>3151</v>
      </c>
      <c r="L34" s="66">
        <v>0</v>
      </c>
      <c r="M34" s="66">
        <v>66586</v>
      </c>
      <c r="N34" s="66">
        <v>8268</v>
      </c>
      <c r="O34" s="66">
        <v>80</v>
      </c>
      <c r="P34" s="66">
        <v>2250</v>
      </c>
    </row>
    <row r="35" spans="1:16" ht="15" customHeight="1">
      <c r="A35" s="88"/>
      <c r="B35" s="281" t="s">
        <v>240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39" ht="15" customHeight="1">
      <c r="A36" s="88" t="s">
        <v>376</v>
      </c>
      <c r="B36" s="278" t="s">
        <v>27</v>
      </c>
      <c r="C36" s="66">
        <f>SUM(D36:P36)+SUM('6-3鄉預出續'!C36:O36)</f>
        <v>88891</v>
      </c>
      <c r="D36" s="66">
        <v>14012</v>
      </c>
      <c r="E36" s="66">
        <v>19316</v>
      </c>
      <c r="F36" s="66">
        <v>15532</v>
      </c>
      <c r="G36" s="66">
        <v>176</v>
      </c>
      <c r="H36" s="66">
        <v>686</v>
      </c>
      <c r="I36" s="1">
        <v>0</v>
      </c>
      <c r="J36" s="66">
        <v>1851</v>
      </c>
      <c r="K36" s="66">
        <v>4366</v>
      </c>
      <c r="L36" s="66">
        <v>0</v>
      </c>
      <c r="M36" s="63">
        <v>900</v>
      </c>
      <c r="N36" s="66">
        <v>6976</v>
      </c>
      <c r="O36" s="117">
        <v>20</v>
      </c>
      <c r="P36" s="118">
        <v>6695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39" ht="15" customHeight="1">
      <c r="A37" s="88"/>
      <c r="B37" s="279" t="s">
        <v>239</v>
      </c>
      <c r="C37" s="66"/>
      <c r="D37" s="66"/>
      <c r="E37" s="66"/>
      <c r="F37" s="66"/>
      <c r="G37" s="66"/>
      <c r="H37" s="66"/>
      <c r="I37" s="1"/>
      <c r="J37" s="66"/>
      <c r="K37" s="66"/>
      <c r="L37" s="66"/>
      <c r="M37" s="63"/>
      <c r="N37" s="66"/>
      <c r="O37" s="117"/>
      <c r="P37" s="118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17" ht="15" customHeight="1">
      <c r="A38" s="138" t="s">
        <v>375</v>
      </c>
      <c r="B38" s="280" t="s">
        <v>4</v>
      </c>
      <c r="C38" s="66">
        <f>SUM(D38:P38)+SUM('6-3鄉預出續'!C38:O38)</f>
        <v>134428</v>
      </c>
      <c r="D38" s="66">
        <v>14412</v>
      </c>
      <c r="E38" s="66">
        <v>18306</v>
      </c>
      <c r="F38" s="66">
        <v>19477</v>
      </c>
      <c r="G38" s="66">
        <v>146</v>
      </c>
      <c r="H38" s="66">
        <v>2156</v>
      </c>
      <c r="I38" s="1">
        <v>0</v>
      </c>
      <c r="J38" s="66">
        <v>1581</v>
      </c>
      <c r="K38" s="66">
        <v>6266</v>
      </c>
      <c r="L38" s="66">
        <v>0</v>
      </c>
      <c r="M38" s="66">
        <v>33714</v>
      </c>
      <c r="N38" s="66">
        <v>4997</v>
      </c>
      <c r="O38" s="66">
        <v>20</v>
      </c>
      <c r="P38" s="66">
        <v>7618</v>
      </c>
      <c r="Q38" s="109"/>
    </row>
    <row r="39" spans="1:17" ht="15" customHeight="1">
      <c r="A39" s="76"/>
      <c r="B39" s="281" t="s">
        <v>240</v>
      </c>
      <c r="C39" s="66"/>
      <c r="D39" s="66"/>
      <c r="E39" s="66"/>
      <c r="F39" s="66"/>
      <c r="G39" s="66"/>
      <c r="H39" s="66"/>
      <c r="I39" s="1"/>
      <c r="J39" s="66"/>
      <c r="K39" s="66"/>
      <c r="L39" s="66"/>
      <c r="M39" s="66"/>
      <c r="N39" s="66"/>
      <c r="O39" s="66"/>
      <c r="P39" s="66"/>
      <c r="Q39" s="109"/>
    </row>
    <row r="40" spans="1:39" ht="15" customHeight="1">
      <c r="A40" s="88" t="s">
        <v>382</v>
      </c>
      <c r="B40" s="278" t="s">
        <v>27</v>
      </c>
      <c r="C40" s="66">
        <f>SUM(D40:P40)+SUM('6-3鄉預出續'!C40:O40)</f>
        <v>98228</v>
      </c>
      <c r="D40" s="66">
        <v>14416</v>
      </c>
      <c r="E40" s="66">
        <v>18233</v>
      </c>
      <c r="F40" s="66">
        <v>15354</v>
      </c>
      <c r="G40" s="66">
        <v>159</v>
      </c>
      <c r="H40" s="66">
        <v>1521</v>
      </c>
      <c r="I40" s="1">
        <v>0</v>
      </c>
      <c r="J40" s="66">
        <v>1590</v>
      </c>
      <c r="K40" s="66">
        <v>5577</v>
      </c>
      <c r="L40" s="66">
        <v>0</v>
      </c>
      <c r="M40" s="63">
        <v>7050</v>
      </c>
      <c r="N40" s="66">
        <v>7166</v>
      </c>
      <c r="O40" s="117">
        <v>20</v>
      </c>
      <c r="P40" s="118">
        <v>7107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5" customHeight="1">
      <c r="A41" s="88"/>
      <c r="B41" s="279" t="s">
        <v>239</v>
      </c>
      <c r="C41" s="66"/>
      <c r="D41" s="66"/>
      <c r="E41" s="66"/>
      <c r="F41" s="66"/>
      <c r="G41" s="66"/>
      <c r="H41" s="66"/>
      <c r="I41" s="1"/>
      <c r="J41" s="66"/>
      <c r="K41" s="66"/>
      <c r="L41" s="66"/>
      <c r="M41" s="63"/>
      <c r="N41" s="66"/>
      <c r="O41" s="117"/>
      <c r="P41" s="118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17" ht="15" customHeight="1">
      <c r="A42" s="138" t="s">
        <v>381</v>
      </c>
      <c r="B42" s="280" t="s">
        <v>4</v>
      </c>
      <c r="C42" s="66">
        <f>SUM(D42:P42)+SUM('6-3鄉預出續'!C42:O42)</f>
        <v>129184</v>
      </c>
      <c r="D42" s="66">
        <v>14516</v>
      </c>
      <c r="E42" s="66">
        <v>17469</v>
      </c>
      <c r="F42" s="66">
        <v>17156</v>
      </c>
      <c r="G42" s="66">
        <v>109</v>
      </c>
      <c r="H42" s="66">
        <v>3111</v>
      </c>
      <c r="I42" s="1">
        <v>0</v>
      </c>
      <c r="J42" s="66">
        <v>1590</v>
      </c>
      <c r="K42" s="66">
        <v>7477</v>
      </c>
      <c r="L42" s="66">
        <v>0</v>
      </c>
      <c r="M42" s="66">
        <v>36695</v>
      </c>
      <c r="N42" s="66">
        <v>6324</v>
      </c>
      <c r="O42" s="66">
        <v>56</v>
      </c>
      <c r="P42" s="66">
        <v>6227</v>
      </c>
      <c r="Q42" s="109"/>
    </row>
    <row r="43" spans="1:17" ht="15" customHeight="1">
      <c r="A43" s="76"/>
      <c r="B43" s="281" t="s">
        <v>240</v>
      </c>
      <c r="C43" s="66"/>
      <c r="D43" s="66"/>
      <c r="E43" s="66"/>
      <c r="F43" s="66"/>
      <c r="G43" s="66"/>
      <c r="H43" s="66"/>
      <c r="I43" s="1"/>
      <c r="J43" s="66"/>
      <c r="K43" s="66"/>
      <c r="L43" s="66"/>
      <c r="M43" s="66"/>
      <c r="N43" s="66"/>
      <c r="O43" s="66"/>
      <c r="P43" s="66"/>
      <c r="Q43" s="109"/>
    </row>
    <row r="44" spans="1:39" ht="15" customHeight="1">
      <c r="A44" s="88" t="s">
        <v>383</v>
      </c>
      <c r="B44" s="278" t="s">
        <v>27</v>
      </c>
      <c r="C44" s="66">
        <f>SUM(D44:P44)+SUM('6-3鄉預出續'!C44:O44)</f>
        <v>101494</v>
      </c>
      <c r="D44" s="66">
        <v>14622</v>
      </c>
      <c r="E44" s="66">
        <v>18349</v>
      </c>
      <c r="F44" s="66">
        <v>15218</v>
      </c>
      <c r="G44" s="66">
        <v>159</v>
      </c>
      <c r="H44" s="66">
        <v>2763</v>
      </c>
      <c r="I44" s="1">
        <v>0</v>
      </c>
      <c r="J44" s="66">
        <v>1730</v>
      </c>
      <c r="K44" s="66">
        <v>5977</v>
      </c>
      <c r="L44" s="66">
        <v>0</v>
      </c>
      <c r="M44" s="63">
        <v>7350</v>
      </c>
      <c r="N44" s="66">
        <v>6382</v>
      </c>
      <c r="O44" s="117">
        <v>35</v>
      </c>
      <c r="P44" s="118">
        <v>6557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 ht="15" customHeight="1">
      <c r="A45" s="88"/>
      <c r="B45" s="279" t="s">
        <v>239</v>
      </c>
      <c r="C45" s="66"/>
      <c r="D45" s="66"/>
      <c r="E45" s="66"/>
      <c r="F45" s="66"/>
      <c r="G45" s="66"/>
      <c r="H45" s="66"/>
      <c r="I45" s="1"/>
      <c r="J45" s="66"/>
      <c r="K45" s="66"/>
      <c r="L45" s="66"/>
      <c r="M45" s="63"/>
      <c r="N45" s="66"/>
      <c r="O45" s="117"/>
      <c r="P45" s="118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17" ht="15" customHeight="1">
      <c r="A46" s="138" t="s">
        <v>384</v>
      </c>
      <c r="B46" s="280" t="s">
        <v>4</v>
      </c>
      <c r="C46" s="66">
        <f>SUM(D46:P46)+SUM('6-3鄉預出續'!C46:O46)</f>
        <v>136325</v>
      </c>
      <c r="D46" s="66">
        <v>14722</v>
      </c>
      <c r="E46" s="66">
        <v>17774</v>
      </c>
      <c r="F46" s="66">
        <v>15105</v>
      </c>
      <c r="G46" s="66">
        <v>159</v>
      </c>
      <c r="H46" s="66">
        <v>3488</v>
      </c>
      <c r="I46" s="1">
        <v>0</v>
      </c>
      <c r="J46" s="66">
        <v>1850</v>
      </c>
      <c r="K46" s="66">
        <v>6957</v>
      </c>
      <c r="L46" s="66">
        <v>0</v>
      </c>
      <c r="M46" s="66">
        <v>43531</v>
      </c>
      <c r="N46" s="66">
        <v>6626</v>
      </c>
      <c r="O46" s="66">
        <v>35</v>
      </c>
      <c r="P46" s="66">
        <v>6697</v>
      </c>
      <c r="Q46" s="109"/>
    </row>
    <row r="47" spans="1:17" ht="15" customHeight="1">
      <c r="A47" s="138"/>
      <c r="B47" s="281" t="s">
        <v>200</v>
      </c>
      <c r="C47" s="66"/>
      <c r="D47" s="66"/>
      <c r="E47" s="66"/>
      <c r="F47" s="66"/>
      <c r="G47" s="66"/>
      <c r="H47" s="66"/>
      <c r="I47" s="1"/>
      <c r="J47" s="66"/>
      <c r="K47" s="66"/>
      <c r="L47" s="66"/>
      <c r="M47" s="66"/>
      <c r="N47" s="66"/>
      <c r="O47" s="66"/>
      <c r="P47" s="66"/>
      <c r="Q47" s="109"/>
    </row>
    <row r="48" spans="1:39" ht="15" customHeight="1">
      <c r="A48" s="88" t="s">
        <v>386</v>
      </c>
      <c r="B48" s="278" t="s">
        <v>27</v>
      </c>
      <c r="C48" s="273">
        <f>SUM(D48:P48)+SUM('6-3鄉預出續'!C48:O48)</f>
        <v>102819</v>
      </c>
      <c r="D48" s="66">
        <v>14579</v>
      </c>
      <c r="E48" s="66">
        <v>17315</v>
      </c>
      <c r="F48" s="66">
        <v>16504</v>
      </c>
      <c r="G48" s="66">
        <v>141</v>
      </c>
      <c r="H48" s="66">
        <v>3093</v>
      </c>
      <c r="I48" s="1">
        <v>0</v>
      </c>
      <c r="J48" s="66">
        <v>2059</v>
      </c>
      <c r="K48" s="66">
        <v>8380</v>
      </c>
      <c r="L48" s="66">
        <v>0</v>
      </c>
      <c r="M48" s="63">
        <v>5550</v>
      </c>
      <c r="N48" s="66">
        <v>7288</v>
      </c>
      <c r="O48" s="67">
        <v>35</v>
      </c>
      <c r="P48" s="118">
        <v>6405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1:39" ht="15" customHeight="1">
      <c r="A49" s="88"/>
      <c r="B49" s="279" t="s">
        <v>199</v>
      </c>
      <c r="C49" s="66"/>
      <c r="D49" s="66"/>
      <c r="E49" s="66"/>
      <c r="F49" s="66"/>
      <c r="G49" s="66"/>
      <c r="H49" s="66"/>
      <c r="I49" s="1"/>
      <c r="J49" s="66"/>
      <c r="K49" s="66"/>
      <c r="L49" s="66"/>
      <c r="M49" s="63"/>
      <c r="N49" s="66"/>
      <c r="O49" s="220"/>
      <c r="P49" s="118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1:17" ht="15" customHeight="1">
      <c r="A50" s="138" t="s">
        <v>387</v>
      </c>
      <c r="B50" s="280" t="s">
        <v>4</v>
      </c>
      <c r="C50" s="273">
        <f>SUM(D50:P50)+SUM('6-3鄉預出續'!C50:O50)</f>
        <v>102819</v>
      </c>
      <c r="D50" s="66">
        <v>14579</v>
      </c>
      <c r="E50" s="66">
        <v>17315</v>
      </c>
      <c r="F50" s="66">
        <v>16504</v>
      </c>
      <c r="G50" s="66">
        <v>141</v>
      </c>
      <c r="H50" s="66">
        <v>3153</v>
      </c>
      <c r="I50" s="1">
        <v>0</v>
      </c>
      <c r="J50" s="66">
        <v>2059</v>
      </c>
      <c r="K50" s="66">
        <v>8380</v>
      </c>
      <c r="L50" s="66">
        <v>0</v>
      </c>
      <c r="M50" s="66">
        <v>5550</v>
      </c>
      <c r="N50" s="66">
        <v>7288</v>
      </c>
      <c r="O50" s="67">
        <v>35</v>
      </c>
      <c r="P50" s="66">
        <v>6405</v>
      </c>
      <c r="Q50" s="109"/>
    </row>
    <row r="51" spans="1:17" ht="15" customHeight="1">
      <c r="A51" s="76"/>
      <c r="B51" s="281" t="s">
        <v>200</v>
      </c>
      <c r="C51" s="66"/>
      <c r="D51" s="66"/>
      <c r="E51" s="66"/>
      <c r="F51" s="66"/>
      <c r="G51" s="66"/>
      <c r="H51" s="66"/>
      <c r="I51" s="1"/>
      <c r="J51" s="66"/>
      <c r="K51" s="66"/>
      <c r="L51" s="66"/>
      <c r="M51" s="66"/>
      <c r="N51" s="66"/>
      <c r="O51" s="66"/>
      <c r="P51" s="66"/>
      <c r="Q51" s="109"/>
    </row>
    <row r="52" spans="1:39" ht="15" customHeight="1">
      <c r="A52" s="88" t="s">
        <v>393</v>
      </c>
      <c r="B52" s="278" t="s">
        <v>27</v>
      </c>
      <c r="C52" s="66">
        <f>SUM(D52:P52)+SUM('6-3鄉預出續'!C52:O52)</f>
        <v>101293</v>
      </c>
      <c r="D52" s="66">
        <f>13983+500</f>
        <v>14483</v>
      </c>
      <c r="E52" s="66">
        <f>14561+1045</f>
        <v>15606</v>
      </c>
      <c r="F52" s="66">
        <v>18256</v>
      </c>
      <c r="G52" s="66">
        <v>141</v>
      </c>
      <c r="H52" s="66">
        <v>2372</v>
      </c>
      <c r="I52" s="1">
        <v>0</v>
      </c>
      <c r="J52" s="66">
        <v>2844</v>
      </c>
      <c r="K52" s="66">
        <v>8596</v>
      </c>
      <c r="L52" s="66">
        <v>0</v>
      </c>
      <c r="M52" s="63">
        <f>4835+5550</f>
        <v>10385</v>
      </c>
      <c r="N52" s="66">
        <f>1852+250</f>
        <v>2102</v>
      </c>
      <c r="O52" s="67">
        <v>0</v>
      </c>
      <c r="P52" s="118">
        <v>6671</v>
      </c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1:39" ht="15" customHeight="1">
      <c r="A53" s="88"/>
      <c r="B53" s="279" t="s">
        <v>199</v>
      </c>
      <c r="C53" s="66"/>
      <c r="D53" s="66"/>
      <c r="E53" s="66"/>
      <c r="F53" s="66"/>
      <c r="G53" s="66"/>
      <c r="H53" s="66"/>
      <c r="I53" s="1"/>
      <c r="J53" s="66"/>
      <c r="K53" s="66"/>
      <c r="L53" s="66"/>
      <c r="M53" s="63"/>
      <c r="N53" s="66"/>
      <c r="O53" s="220"/>
      <c r="P53" s="118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1:17" ht="15" customHeight="1">
      <c r="A54" s="138" t="s">
        <v>394</v>
      </c>
      <c r="B54" s="280" t="s">
        <v>4</v>
      </c>
      <c r="C54" s="66">
        <f>SUM(D54:P54)+SUM('6-3鄉預出續'!C54:O54)</f>
        <v>258816</v>
      </c>
      <c r="D54" s="66">
        <f>14068+500</f>
        <v>14568</v>
      </c>
      <c r="E54" s="66">
        <f>15751+845</f>
        <v>16596</v>
      </c>
      <c r="F54" s="66">
        <f>27119.4+421</f>
        <v>27540.4</v>
      </c>
      <c r="G54" s="66">
        <v>106</v>
      </c>
      <c r="H54" s="66">
        <v>3262</v>
      </c>
      <c r="I54" s="1">
        <v>0</v>
      </c>
      <c r="J54" s="66">
        <v>3514</v>
      </c>
      <c r="K54" s="66">
        <f>22224+2583</f>
        <v>24807</v>
      </c>
      <c r="L54" s="66">
        <v>0</v>
      </c>
      <c r="M54" s="66">
        <f>4835+104890</f>
        <v>109725</v>
      </c>
      <c r="N54" s="66">
        <f>1964+13346</f>
        <v>15310</v>
      </c>
      <c r="O54" s="67">
        <v>0</v>
      </c>
      <c r="P54" s="66">
        <v>16509</v>
      </c>
      <c r="Q54" s="109"/>
    </row>
    <row r="55" spans="1:17" ht="15" customHeight="1">
      <c r="A55" s="76"/>
      <c r="B55" s="281" t="s">
        <v>200</v>
      </c>
      <c r="C55" s="66"/>
      <c r="D55" s="66"/>
      <c r="E55" s="66"/>
      <c r="F55" s="66"/>
      <c r="G55" s="66"/>
      <c r="H55" s="66"/>
      <c r="I55" s="1"/>
      <c r="J55" s="66"/>
      <c r="K55" s="66"/>
      <c r="L55" s="66"/>
      <c r="M55" s="66"/>
      <c r="N55" s="66"/>
      <c r="O55" s="66"/>
      <c r="P55" s="66"/>
      <c r="Q55" s="109"/>
    </row>
    <row r="56" spans="1:39" s="227" customFormat="1" ht="15" customHeight="1">
      <c r="A56" s="229" t="s">
        <v>397</v>
      </c>
      <c r="B56" s="282" t="s">
        <v>27</v>
      </c>
      <c r="C56" s="67">
        <f>SUM(D56:P56)+SUM('6-3-1鄉預出續'!C65:O65)</f>
        <v>116774</v>
      </c>
      <c r="D56" s="67">
        <f>14189+1000</f>
        <v>15189</v>
      </c>
      <c r="E56" s="67">
        <f>14872+893</f>
        <v>15765</v>
      </c>
      <c r="F56" s="67">
        <v>18763</v>
      </c>
      <c r="G56" s="67">
        <v>95</v>
      </c>
      <c r="H56" s="67">
        <v>3470</v>
      </c>
      <c r="I56" s="233">
        <v>0</v>
      </c>
      <c r="J56" s="67">
        <v>3826</v>
      </c>
      <c r="K56" s="67">
        <v>10616</v>
      </c>
      <c r="L56" s="67">
        <v>0</v>
      </c>
      <c r="M56" s="64">
        <f>4812+3550</f>
        <v>8362</v>
      </c>
      <c r="N56" s="67">
        <f>1725+32250</f>
        <v>33975</v>
      </c>
      <c r="O56" s="67">
        <v>0</v>
      </c>
      <c r="P56" s="240">
        <v>6713</v>
      </c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</row>
    <row r="57" spans="1:39" s="227" customFormat="1" ht="15" customHeight="1">
      <c r="A57" s="229"/>
      <c r="B57" s="283" t="s">
        <v>199</v>
      </c>
      <c r="C57" s="67"/>
      <c r="D57" s="67"/>
      <c r="E57" s="67"/>
      <c r="F57" s="67"/>
      <c r="G57" s="67"/>
      <c r="H57" s="67"/>
      <c r="I57" s="233"/>
      <c r="J57" s="67"/>
      <c r="K57" s="67"/>
      <c r="L57" s="67"/>
      <c r="M57" s="64"/>
      <c r="N57" s="67"/>
      <c r="O57" s="220"/>
      <c r="P57" s="240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</row>
    <row r="58" spans="1:17" s="227" customFormat="1" ht="15" customHeight="1">
      <c r="A58" s="228" t="s">
        <v>398</v>
      </c>
      <c r="B58" s="284" t="s">
        <v>4</v>
      </c>
      <c r="C58" s="67">
        <f>SUM(D58:P58)+SUM('6-3-1鄉預出續'!C67:O67)</f>
        <v>176077.066</v>
      </c>
      <c r="D58" s="67">
        <f>14269+1000</f>
        <v>15269</v>
      </c>
      <c r="E58" s="67">
        <f>14743.316+893</f>
        <v>15636.316</v>
      </c>
      <c r="F58" s="67">
        <f>22553+800</f>
        <v>23353</v>
      </c>
      <c r="G58" s="67">
        <v>95</v>
      </c>
      <c r="H58" s="67">
        <v>3666.5</v>
      </c>
      <c r="I58" s="233">
        <v>0</v>
      </c>
      <c r="J58" s="67">
        <f>4315+140</f>
        <v>4455</v>
      </c>
      <c r="K58" s="67">
        <f>21666.25+8042</f>
        <v>29708.25</v>
      </c>
      <c r="L58" s="67">
        <v>0</v>
      </c>
      <c r="M58" s="67">
        <f>4812+63093</f>
        <v>67905</v>
      </c>
      <c r="N58" s="67">
        <f>2025+7218</f>
        <v>9243</v>
      </c>
      <c r="O58" s="67">
        <v>0</v>
      </c>
      <c r="P58" s="67">
        <v>6746</v>
      </c>
      <c r="Q58" s="242"/>
    </row>
    <row r="59" spans="1:17" ht="15" customHeight="1">
      <c r="A59" s="76"/>
      <c r="B59" s="281" t="s">
        <v>200</v>
      </c>
      <c r="C59" s="66"/>
      <c r="D59" s="66"/>
      <c r="E59" s="66"/>
      <c r="F59" s="66"/>
      <c r="G59" s="66"/>
      <c r="H59" s="66"/>
      <c r="I59" s="1"/>
      <c r="J59" s="66"/>
      <c r="K59" s="66"/>
      <c r="L59" s="66"/>
      <c r="M59" s="66"/>
      <c r="N59" s="66"/>
      <c r="O59" s="66"/>
      <c r="P59" s="66"/>
      <c r="Q59" s="109"/>
    </row>
    <row r="60" spans="1:17" ht="15" customHeight="1">
      <c r="A60" s="229" t="s">
        <v>413</v>
      </c>
      <c r="B60" s="282" t="s">
        <v>27</v>
      </c>
      <c r="C60" s="67">
        <f>SUM(D60:P60)+SUM('6-3鄉預出續'!C60:O60)</f>
        <v>130907</v>
      </c>
      <c r="D60" s="67">
        <v>15339</v>
      </c>
      <c r="E60" s="67">
        <v>15408</v>
      </c>
      <c r="F60" s="67">
        <v>26739</v>
      </c>
      <c r="G60" s="67">
        <v>122</v>
      </c>
      <c r="H60" s="67">
        <v>2609</v>
      </c>
      <c r="I60" s="233">
        <v>0</v>
      </c>
      <c r="J60" s="67">
        <v>3347</v>
      </c>
      <c r="K60" s="67">
        <v>11717</v>
      </c>
      <c r="L60" s="67">
        <v>0</v>
      </c>
      <c r="M60" s="64">
        <v>9412</v>
      </c>
      <c r="N60" s="67">
        <v>17112</v>
      </c>
      <c r="O60" s="67">
        <v>0</v>
      </c>
      <c r="P60" s="240">
        <v>6962</v>
      </c>
      <c r="Q60" s="109"/>
    </row>
    <row r="61" spans="1:17" ht="15" customHeight="1">
      <c r="A61" s="229"/>
      <c r="B61" s="283" t="s">
        <v>199</v>
      </c>
      <c r="C61" s="67"/>
      <c r="D61" s="67"/>
      <c r="E61" s="67"/>
      <c r="F61" s="67"/>
      <c r="G61" s="67"/>
      <c r="H61" s="67"/>
      <c r="I61" s="233"/>
      <c r="J61" s="67"/>
      <c r="K61" s="67"/>
      <c r="L61" s="67"/>
      <c r="M61" s="64"/>
      <c r="N61" s="67"/>
      <c r="O61" s="220"/>
      <c r="P61" s="240"/>
      <c r="Q61" s="109"/>
    </row>
    <row r="62" spans="1:17" ht="15" customHeight="1">
      <c r="A62" s="228" t="s">
        <v>414</v>
      </c>
      <c r="B62" s="284" t="s">
        <v>4</v>
      </c>
      <c r="C62" s="67">
        <f>SUM(D62:P62)+SUM('6-3鄉預出續'!C62:O62)</f>
        <v>234558</v>
      </c>
      <c r="D62" s="67">
        <v>15573</v>
      </c>
      <c r="E62" s="67">
        <v>15404</v>
      </c>
      <c r="F62" s="67">
        <v>30351</v>
      </c>
      <c r="G62" s="67">
        <v>127</v>
      </c>
      <c r="H62" s="67">
        <v>3834</v>
      </c>
      <c r="I62" s="233">
        <v>0</v>
      </c>
      <c r="J62" s="67">
        <v>13956</v>
      </c>
      <c r="K62" s="67">
        <v>25017</v>
      </c>
      <c r="L62" s="67">
        <v>0</v>
      </c>
      <c r="M62" s="67">
        <v>98790</v>
      </c>
      <c r="N62" s="67">
        <v>1212</v>
      </c>
      <c r="O62" s="67">
        <v>0</v>
      </c>
      <c r="P62" s="67">
        <v>7375</v>
      </c>
      <c r="Q62" s="109"/>
    </row>
    <row r="63" spans="1:17" ht="15" customHeight="1">
      <c r="A63" s="76"/>
      <c r="B63" s="281" t="s">
        <v>200</v>
      </c>
      <c r="C63" s="66"/>
      <c r="D63" s="66"/>
      <c r="E63" s="66"/>
      <c r="F63" s="66"/>
      <c r="G63" s="66"/>
      <c r="H63" s="66"/>
      <c r="I63" s="1"/>
      <c r="J63" s="66"/>
      <c r="K63" s="66"/>
      <c r="L63" s="66"/>
      <c r="M63" s="66"/>
      <c r="N63" s="66"/>
      <c r="O63" s="66"/>
      <c r="P63" s="66"/>
      <c r="Q63" s="109"/>
    </row>
    <row r="64" spans="1:17" s="107" customFormat="1" ht="15" customHeight="1" thickBot="1">
      <c r="A64" s="53"/>
      <c r="B64" s="221"/>
      <c r="C64" s="68"/>
      <c r="D64" s="68"/>
      <c r="E64" s="68"/>
      <c r="F64" s="68"/>
      <c r="G64" s="68"/>
      <c r="H64" s="68"/>
      <c r="I64" s="2"/>
      <c r="J64" s="68"/>
      <c r="K64" s="68"/>
      <c r="L64" s="68"/>
      <c r="M64" s="68"/>
      <c r="N64" s="68"/>
      <c r="O64" s="68"/>
      <c r="P64" s="68"/>
      <c r="Q64" s="222"/>
    </row>
    <row r="65" ht="16.5">
      <c r="A65" s="99" t="s">
        <v>435</v>
      </c>
    </row>
  </sheetData>
  <sheetProtection/>
  <mergeCells count="1">
    <mergeCell ref="A5:B5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J41" sqref="J41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6.5">
      <c r="A1" s="3" t="s">
        <v>461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430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">
      <c r="A2" s="112" t="s">
        <v>405</v>
      </c>
      <c r="B2" s="112"/>
      <c r="C2" s="112"/>
      <c r="D2" s="112"/>
      <c r="E2" s="112"/>
      <c r="F2" s="112"/>
      <c r="G2" s="112"/>
      <c r="H2" s="112"/>
      <c r="I2" s="195" t="s">
        <v>406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252</v>
      </c>
      <c r="B3" s="112"/>
      <c r="C3" s="112"/>
      <c r="D3" s="112"/>
      <c r="E3" s="112"/>
      <c r="F3" s="112"/>
      <c r="G3" s="112"/>
      <c r="H3" s="112"/>
      <c r="I3" s="115" t="s">
        <v>252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59" t="s">
        <v>55</v>
      </c>
      <c r="O4" s="359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241</v>
      </c>
      <c r="B5" s="196"/>
      <c r="C5" s="150" t="s">
        <v>242</v>
      </c>
      <c r="D5" s="150" t="s">
        <v>343</v>
      </c>
      <c r="E5" s="150" t="s">
        <v>243</v>
      </c>
      <c r="F5" s="150" t="s">
        <v>244</v>
      </c>
      <c r="G5" s="150" t="s">
        <v>245</v>
      </c>
      <c r="H5" s="150" t="s">
        <v>246</v>
      </c>
      <c r="I5" s="159" t="s">
        <v>247</v>
      </c>
      <c r="J5" s="150" t="s">
        <v>156</v>
      </c>
      <c r="K5" s="150" t="s">
        <v>150</v>
      </c>
      <c r="L5" s="150" t="s">
        <v>263</v>
      </c>
      <c r="M5" s="150" t="s">
        <v>248</v>
      </c>
      <c r="N5" s="150" t="s">
        <v>249</v>
      </c>
      <c r="O5" s="126" t="s">
        <v>250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204</v>
      </c>
      <c r="B6" s="123"/>
      <c r="C6" s="197" t="s">
        <v>251</v>
      </c>
      <c r="D6" s="154" t="s">
        <v>253</v>
      </c>
      <c r="E6" s="154" t="s">
        <v>144</v>
      </c>
      <c r="F6" s="154" t="s">
        <v>254</v>
      </c>
      <c r="G6" s="154" t="s">
        <v>255</v>
      </c>
      <c r="H6" s="154" t="s">
        <v>256</v>
      </c>
      <c r="I6" s="152" t="s">
        <v>257</v>
      </c>
      <c r="J6" s="152" t="s">
        <v>258</v>
      </c>
      <c r="K6" s="154" t="s">
        <v>259</v>
      </c>
      <c r="L6" s="154" t="s">
        <v>260</v>
      </c>
      <c r="M6" s="154" t="s">
        <v>261</v>
      </c>
      <c r="N6" s="154" t="s">
        <v>262</v>
      </c>
      <c r="O6" s="198" t="s">
        <v>264</v>
      </c>
    </row>
    <row r="7" spans="1:57" ht="15" customHeight="1" hidden="1">
      <c r="A7" s="88" t="s">
        <v>344</v>
      </c>
      <c r="B7" s="59" t="s">
        <v>56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 hidden="1">
      <c r="A8" s="88"/>
      <c r="B8" s="158" t="s">
        <v>265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 hidden="1">
      <c r="A9" s="138" t="s">
        <v>307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266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16" ht="15" customHeight="1" hidden="1">
      <c r="A12" s="88" t="s">
        <v>308</v>
      </c>
      <c r="B12" s="59" t="s">
        <v>56</v>
      </c>
      <c r="C12" s="66">
        <v>10429</v>
      </c>
      <c r="D12" s="66">
        <v>0</v>
      </c>
      <c r="E12" s="66">
        <v>0</v>
      </c>
      <c r="F12" s="66">
        <v>283</v>
      </c>
      <c r="G12" s="66">
        <v>2953</v>
      </c>
      <c r="H12" s="66">
        <v>6009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5000</v>
      </c>
      <c r="O12" s="66">
        <v>135</v>
      </c>
      <c r="P12" s="73"/>
    </row>
    <row r="13" spans="1:16" ht="15" customHeight="1" hidden="1">
      <c r="A13" s="88" t="s">
        <v>309</v>
      </c>
      <c r="B13" s="158" t="s">
        <v>265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3"/>
    </row>
    <row r="14" spans="1:16" ht="15" customHeight="1" hidden="1">
      <c r="A14" s="211" t="s">
        <v>310</v>
      </c>
      <c r="B14" s="89" t="s">
        <v>4</v>
      </c>
      <c r="C14" s="66">
        <v>7312</v>
      </c>
      <c r="D14" s="66">
        <v>0</v>
      </c>
      <c r="E14" s="66">
        <v>0</v>
      </c>
      <c r="F14" s="66">
        <v>101</v>
      </c>
      <c r="G14" s="66">
        <v>4533</v>
      </c>
      <c r="H14" s="66">
        <v>7709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3272</v>
      </c>
      <c r="O14" s="66">
        <v>135</v>
      </c>
      <c r="P14" s="73"/>
    </row>
    <row r="15" spans="1:16" ht="15" customHeight="1" hidden="1">
      <c r="A15" s="92"/>
      <c r="B15" s="188" t="s">
        <v>266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3"/>
    </row>
    <row r="16" spans="1:16" ht="15" customHeight="1" hidden="1">
      <c r="A16" s="88" t="s">
        <v>345</v>
      </c>
      <c r="B16" s="59" t="s">
        <v>56</v>
      </c>
      <c r="C16" s="66">
        <v>3967</v>
      </c>
      <c r="D16" s="66">
        <v>0</v>
      </c>
      <c r="E16" s="66">
        <v>0</v>
      </c>
      <c r="F16" s="66">
        <v>3</v>
      </c>
      <c r="G16" s="66">
        <v>2391</v>
      </c>
      <c r="H16" s="66">
        <v>6666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5000</v>
      </c>
      <c r="O16" s="66">
        <v>200</v>
      </c>
      <c r="P16" s="121"/>
    </row>
    <row r="17" spans="1:16" ht="15" customHeight="1" hidden="1">
      <c r="A17" s="88"/>
      <c r="B17" s="158" t="s">
        <v>265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21"/>
    </row>
    <row r="18" spans="1:16" ht="15" customHeight="1" hidden="1">
      <c r="A18" s="138" t="s">
        <v>311</v>
      </c>
      <c r="B18" s="89" t="s">
        <v>4</v>
      </c>
      <c r="C18" s="66">
        <v>3972</v>
      </c>
      <c r="D18" s="66">
        <v>0</v>
      </c>
      <c r="E18" s="66">
        <v>0</v>
      </c>
      <c r="F18" s="66">
        <v>3</v>
      </c>
      <c r="G18" s="66">
        <v>2755</v>
      </c>
      <c r="H18" s="66">
        <v>5766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4980</v>
      </c>
      <c r="O18" s="66">
        <v>40</v>
      </c>
      <c r="P18" s="73"/>
    </row>
    <row r="19" spans="1:16" ht="15" customHeight="1" hidden="1">
      <c r="A19" s="76"/>
      <c r="B19" s="188" t="s">
        <v>266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3"/>
    </row>
    <row r="20" spans="1:16" ht="15" customHeight="1" hidden="1">
      <c r="A20" s="88" t="s">
        <v>312</v>
      </c>
      <c r="B20" s="59" t="s">
        <v>56</v>
      </c>
      <c r="C20" s="66">
        <v>4420</v>
      </c>
      <c r="D20" s="66">
        <v>0</v>
      </c>
      <c r="E20" s="66">
        <v>0</v>
      </c>
      <c r="F20" s="66">
        <v>46</v>
      </c>
      <c r="G20" s="66">
        <v>2951</v>
      </c>
      <c r="H20" s="66">
        <v>8838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2000</v>
      </c>
      <c r="O20" s="66">
        <v>300</v>
      </c>
      <c r="P20" s="73"/>
    </row>
    <row r="21" spans="1:16" ht="15" customHeight="1" hidden="1">
      <c r="A21" s="88"/>
      <c r="B21" s="158" t="s">
        <v>265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3"/>
    </row>
    <row r="22" spans="1:15" s="73" customFormat="1" ht="15" customHeight="1" hidden="1">
      <c r="A22" s="211" t="s">
        <v>313</v>
      </c>
      <c r="B22" s="89" t="s">
        <v>4</v>
      </c>
      <c r="C22" s="66">
        <v>4554</v>
      </c>
      <c r="D22" s="66">
        <v>0</v>
      </c>
      <c r="E22" s="66">
        <v>0</v>
      </c>
      <c r="F22" s="66">
        <v>46</v>
      </c>
      <c r="G22" s="66">
        <v>26701</v>
      </c>
      <c r="H22" s="66">
        <v>8282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1700</v>
      </c>
      <c r="O22" s="66">
        <v>300</v>
      </c>
    </row>
    <row r="23" spans="1:15" s="73" customFormat="1" ht="15" customHeight="1" hidden="1">
      <c r="A23" s="92"/>
      <c r="B23" s="188" t="s">
        <v>266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73" customFormat="1" ht="15" customHeight="1">
      <c r="A24" s="88" t="s">
        <v>314</v>
      </c>
      <c r="B24" s="59" t="s">
        <v>56</v>
      </c>
      <c r="C24" s="66">
        <v>4757</v>
      </c>
      <c r="D24" s="66">
        <v>0</v>
      </c>
      <c r="E24" s="66">
        <v>0</v>
      </c>
      <c r="F24" s="66">
        <v>73</v>
      </c>
      <c r="G24" s="66">
        <v>3619</v>
      </c>
      <c r="H24" s="66">
        <v>6281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2000</v>
      </c>
      <c r="O24" s="66">
        <v>795</v>
      </c>
    </row>
    <row r="25" spans="1:15" s="73" customFormat="1" ht="15" customHeight="1">
      <c r="A25" s="88"/>
      <c r="B25" s="158" t="s">
        <v>265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15" customHeight="1">
      <c r="A26" s="138" t="s">
        <v>315</v>
      </c>
      <c r="B26" s="89" t="s">
        <v>4</v>
      </c>
      <c r="C26" s="66">
        <v>4837</v>
      </c>
      <c r="D26" s="66">
        <v>0</v>
      </c>
      <c r="E26" s="66">
        <v>0</v>
      </c>
      <c r="F26" s="66">
        <v>193</v>
      </c>
      <c r="G26" s="66">
        <v>3619</v>
      </c>
      <c r="H26" s="66">
        <v>6281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2000</v>
      </c>
      <c r="O26" s="66">
        <v>795</v>
      </c>
      <c r="P26" s="73"/>
    </row>
    <row r="27" spans="1:16" ht="15" customHeight="1">
      <c r="A27" s="76"/>
      <c r="B27" s="188" t="s">
        <v>266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3"/>
    </row>
    <row r="28" spans="1:15" s="73" customFormat="1" ht="15" customHeight="1">
      <c r="A28" s="88" t="s">
        <v>316</v>
      </c>
      <c r="B28" s="59" t="s">
        <v>56</v>
      </c>
      <c r="C28" s="66">
        <v>4884</v>
      </c>
      <c r="D28" s="66">
        <v>0</v>
      </c>
      <c r="E28" s="66">
        <v>0</v>
      </c>
      <c r="F28" s="66">
        <v>200</v>
      </c>
      <c r="G28" s="66">
        <v>6174</v>
      </c>
      <c r="H28" s="66">
        <v>8120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5297</v>
      </c>
    </row>
    <row r="29" spans="1:15" s="73" customFormat="1" ht="15" customHeight="1">
      <c r="A29" s="88"/>
      <c r="B29" s="158" t="s">
        <v>265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5" customHeight="1">
      <c r="A30" s="138" t="s">
        <v>317</v>
      </c>
      <c r="B30" s="89" t="s">
        <v>4</v>
      </c>
      <c r="C30" s="66">
        <v>5387</v>
      </c>
      <c r="D30" s="66">
        <v>0</v>
      </c>
      <c r="E30" s="66">
        <v>0</v>
      </c>
      <c r="F30" s="66">
        <v>400</v>
      </c>
      <c r="G30" s="66">
        <v>6404</v>
      </c>
      <c r="H30" s="66">
        <v>8120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5297</v>
      </c>
      <c r="P30" s="73"/>
    </row>
    <row r="31" spans="1:16" ht="15" customHeight="1">
      <c r="A31" s="76"/>
      <c r="B31" s="188" t="s">
        <v>266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3"/>
    </row>
    <row r="32" spans="1:15" s="73" customFormat="1" ht="15" customHeight="1">
      <c r="A32" s="88" t="s">
        <v>318</v>
      </c>
      <c r="B32" s="59" t="s">
        <v>56</v>
      </c>
      <c r="C32" s="66">
        <v>4975</v>
      </c>
      <c r="D32" s="66">
        <v>0</v>
      </c>
      <c r="E32" s="66">
        <v>0</v>
      </c>
      <c r="F32" s="66">
        <v>225</v>
      </c>
      <c r="G32" s="66">
        <v>4497</v>
      </c>
      <c r="H32" s="66">
        <v>7966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2795</v>
      </c>
    </row>
    <row r="33" spans="1:15" s="73" customFormat="1" ht="15" customHeight="1">
      <c r="A33" s="88"/>
      <c r="B33" s="158" t="s">
        <v>265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6" ht="15" customHeight="1">
      <c r="A34" s="138" t="s">
        <v>346</v>
      </c>
      <c r="B34" s="89" t="s">
        <v>4</v>
      </c>
      <c r="C34" s="66">
        <v>6487</v>
      </c>
      <c r="D34" s="66">
        <v>0</v>
      </c>
      <c r="E34" s="66">
        <v>0</v>
      </c>
      <c r="F34" s="66">
        <v>948</v>
      </c>
      <c r="G34" s="66">
        <v>12436</v>
      </c>
      <c r="H34" s="66">
        <v>7966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2795</v>
      </c>
      <c r="P34" s="73"/>
    </row>
    <row r="35" spans="1:16" ht="15" customHeight="1">
      <c r="A35" s="76"/>
      <c r="B35" s="188" t="s">
        <v>266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</row>
    <row r="36" spans="1:26" ht="15" customHeight="1">
      <c r="A36" s="88" t="s">
        <v>376</v>
      </c>
      <c r="B36" s="59" t="s">
        <v>56</v>
      </c>
      <c r="C36" s="66">
        <v>4965</v>
      </c>
      <c r="D36" s="66">
        <v>0</v>
      </c>
      <c r="E36" s="66">
        <v>0</v>
      </c>
      <c r="F36" s="66">
        <v>430</v>
      </c>
      <c r="G36" s="66">
        <v>4615</v>
      </c>
      <c r="H36" s="66">
        <v>4556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3">
        <v>0</v>
      </c>
      <c r="O36" s="63">
        <v>3795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" customHeight="1">
      <c r="A37" s="88"/>
      <c r="B37" s="158" t="s">
        <v>265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3"/>
      <c r="O37" s="63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57" ht="15" customHeight="1">
      <c r="A38" s="138" t="s">
        <v>380</v>
      </c>
      <c r="B38" s="89" t="s">
        <v>4</v>
      </c>
      <c r="C38" s="66">
        <v>5727</v>
      </c>
      <c r="D38" s="66">
        <v>0</v>
      </c>
      <c r="E38" s="66">
        <v>0</v>
      </c>
      <c r="F38" s="66">
        <v>3912</v>
      </c>
      <c r="G38" s="66">
        <v>5075</v>
      </c>
      <c r="H38" s="66">
        <v>7826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3195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8" t="s">
        <v>266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26" ht="15" customHeight="1">
      <c r="A40" s="88" t="s">
        <v>382</v>
      </c>
      <c r="B40" s="59" t="s">
        <v>56</v>
      </c>
      <c r="C40" s="66">
        <v>4806</v>
      </c>
      <c r="D40" s="66">
        <v>0</v>
      </c>
      <c r="E40" s="66">
        <v>0</v>
      </c>
      <c r="F40" s="66">
        <v>645</v>
      </c>
      <c r="G40" s="66">
        <v>6808</v>
      </c>
      <c r="H40" s="66">
        <v>5081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3">
        <v>0</v>
      </c>
      <c r="O40" s="63">
        <v>2695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 customHeight="1">
      <c r="A41" s="88"/>
      <c r="B41" s="158" t="s">
        <v>265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/>
      <c r="O41" s="63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57" ht="15" customHeight="1">
      <c r="A42" s="138" t="s">
        <v>381</v>
      </c>
      <c r="B42" s="89" t="s">
        <v>4</v>
      </c>
      <c r="C42" s="66">
        <v>4906</v>
      </c>
      <c r="D42" s="66">
        <v>0</v>
      </c>
      <c r="E42" s="66">
        <v>0</v>
      </c>
      <c r="F42" s="66">
        <v>673</v>
      </c>
      <c r="G42" s="66">
        <v>6888</v>
      </c>
      <c r="H42" s="66">
        <v>4792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1195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8" t="s">
        <v>266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26" ht="15" customHeight="1">
      <c r="A44" s="88" t="s">
        <v>383</v>
      </c>
      <c r="B44" s="59" t="s">
        <v>56</v>
      </c>
      <c r="C44" s="66">
        <v>4505</v>
      </c>
      <c r="D44" s="66">
        <v>0</v>
      </c>
      <c r="E44" s="66">
        <v>0</v>
      </c>
      <c r="F44" s="66">
        <v>615</v>
      </c>
      <c r="G44" s="66">
        <v>9600</v>
      </c>
      <c r="H44" s="66">
        <v>5937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3">
        <v>1000</v>
      </c>
      <c r="O44" s="63">
        <v>695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" customHeight="1">
      <c r="A45" s="88"/>
      <c r="B45" s="158" t="s">
        <v>265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/>
      <c r="O45" s="6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57" ht="15" customHeight="1">
      <c r="A46" s="138" t="s">
        <v>384</v>
      </c>
      <c r="B46" s="89" t="s">
        <v>4</v>
      </c>
      <c r="C46" s="66">
        <v>4567</v>
      </c>
      <c r="D46" s="66">
        <v>0</v>
      </c>
      <c r="E46" s="66">
        <v>0</v>
      </c>
      <c r="F46" s="66">
        <v>614</v>
      </c>
      <c r="G46" s="66">
        <v>7800</v>
      </c>
      <c r="H46" s="66">
        <v>5705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500</v>
      </c>
      <c r="O46" s="66">
        <v>195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15" customHeight="1">
      <c r="A47" s="138"/>
      <c r="B47" s="188" t="s">
        <v>200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26" ht="15" customHeight="1">
      <c r="A48" s="88" t="s">
        <v>386</v>
      </c>
      <c r="B48" s="59" t="s">
        <v>27</v>
      </c>
      <c r="C48" s="66">
        <v>4566</v>
      </c>
      <c r="D48" s="66">
        <v>0</v>
      </c>
      <c r="E48" s="66">
        <v>0</v>
      </c>
      <c r="F48" s="66">
        <v>788</v>
      </c>
      <c r="G48" s="66">
        <v>8244</v>
      </c>
      <c r="H48" s="66">
        <v>4932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3">
        <v>1200</v>
      </c>
      <c r="O48" s="63">
        <v>1740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" customHeight="1">
      <c r="A49" s="88"/>
      <c r="B49" s="158" t="s">
        <v>265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57" ht="15" customHeight="1">
      <c r="A50" s="138" t="s">
        <v>387</v>
      </c>
      <c r="B50" s="89" t="s">
        <v>4</v>
      </c>
      <c r="C50" s="66">
        <v>4566</v>
      </c>
      <c r="D50" s="66">
        <v>0</v>
      </c>
      <c r="E50" s="66">
        <v>0</v>
      </c>
      <c r="F50" s="66">
        <v>923</v>
      </c>
      <c r="G50" s="66">
        <v>8244</v>
      </c>
      <c r="H50" s="66">
        <v>4932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1005</v>
      </c>
      <c r="O50" s="66">
        <v>1740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15" customHeight="1">
      <c r="A51" s="76"/>
      <c r="B51" s="188" t="s">
        <v>200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26" ht="15" customHeight="1">
      <c r="A52" s="88" t="s">
        <v>393</v>
      </c>
      <c r="B52" s="59" t="s">
        <v>27</v>
      </c>
      <c r="C52" s="66">
        <v>4624</v>
      </c>
      <c r="D52" s="66">
        <v>0</v>
      </c>
      <c r="E52" s="66">
        <v>0</v>
      </c>
      <c r="F52" s="66">
        <v>1018</v>
      </c>
      <c r="G52" s="66">
        <v>6980</v>
      </c>
      <c r="H52" s="66">
        <v>4550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3">
        <v>675</v>
      </c>
      <c r="O52" s="63">
        <v>1990</v>
      </c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" customHeight="1">
      <c r="A53" s="88"/>
      <c r="B53" s="158" t="s">
        <v>265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3"/>
      <c r="O53" s="63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57" ht="15" customHeight="1">
      <c r="A54" s="138" t="s">
        <v>394</v>
      </c>
      <c r="B54" s="89" t="s">
        <v>4</v>
      </c>
      <c r="C54" s="66">
        <f>4800+179</f>
        <v>4979</v>
      </c>
      <c r="D54" s="66">
        <v>0</v>
      </c>
      <c r="E54" s="66">
        <v>0</v>
      </c>
      <c r="F54" s="66">
        <v>2059</v>
      </c>
      <c r="G54" s="66">
        <f>8020.41+4325</f>
        <v>12345.41</v>
      </c>
      <c r="H54" s="66">
        <v>5380.598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1.192</v>
      </c>
      <c r="O54" s="66">
        <v>2113.4</v>
      </c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</row>
    <row r="55" spans="1:57" ht="15" customHeight="1">
      <c r="A55" s="76"/>
      <c r="B55" s="188" t="s">
        <v>200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15" s="107" customFormat="1" ht="15" customHeight="1" thickBot="1">
      <c r="A56" s="88" t="s">
        <v>397</v>
      </c>
      <c r="B56" s="59" t="s">
        <v>27</v>
      </c>
      <c r="C56" s="66">
        <v>4802</v>
      </c>
      <c r="D56" s="66">
        <v>0</v>
      </c>
      <c r="E56" s="66">
        <v>0</v>
      </c>
      <c r="F56" s="66">
        <v>1297</v>
      </c>
      <c r="G56" s="66">
        <v>7750</v>
      </c>
      <c r="H56" s="66">
        <v>6456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3">
        <v>1000</v>
      </c>
      <c r="O56" s="63">
        <v>2407</v>
      </c>
    </row>
    <row r="57" spans="1:57" ht="16.5">
      <c r="A57" s="88"/>
      <c r="B57" s="158" t="s">
        <v>265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3"/>
      <c r="O57" s="63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57" ht="16.5">
      <c r="A58" s="138" t="s">
        <v>398</v>
      </c>
      <c r="B58" s="89" t="s">
        <v>4</v>
      </c>
      <c r="C58" s="66">
        <v>4908.51</v>
      </c>
      <c r="D58" s="66">
        <v>0</v>
      </c>
      <c r="E58" s="66">
        <v>0</v>
      </c>
      <c r="F58" s="66">
        <v>1345</v>
      </c>
      <c r="G58" s="66">
        <f>7400+1062</f>
        <v>8462</v>
      </c>
      <c r="H58" s="66">
        <v>8335.014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162.41</v>
      </c>
      <c r="O58" s="66">
        <v>2307</v>
      </c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1:15" ht="16.5">
      <c r="A59" s="76"/>
      <c r="B59" s="188" t="s">
        <v>200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57" ht="15" customHeight="1">
      <c r="A60" s="88" t="s">
        <v>413</v>
      </c>
      <c r="B60" s="59" t="s">
        <v>27</v>
      </c>
      <c r="C60" s="66">
        <v>4921</v>
      </c>
      <c r="D60" s="66">
        <v>0</v>
      </c>
      <c r="E60" s="66">
        <v>0</v>
      </c>
      <c r="F60" s="66">
        <v>1274</v>
      </c>
      <c r="G60" s="66">
        <v>7763</v>
      </c>
      <c r="H60" s="66">
        <v>5292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3">
        <v>650</v>
      </c>
      <c r="O60" s="63">
        <v>2240</v>
      </c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ht="15" customHeight="1">
      <c r="A61" s="88"/>
      <c r="B61" s="158" t="s">
        <v>265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3"/>
      <c r="O61" s="63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ht="15" customHeight="1">
      <c r="A62" s="138" t="s">
        <v>414</v>
      </c>
      <c r="B62" s="89" t="s">
        <v>4</v>
      </c>
      <c r="C62" s="66">
        <v>4941</v>
      </c>
      <c r="D62" s="66">
        <v>0</v>
      </c>
      <c r="E62" s="66">
        <v>0</v>
      </c>
      <c r="F62" s="66">
        <v>1784</v>
      </c>
      <c r="G62" s="66">
        <v>7993</v>
      </c>
      <c r="H62" s="66">
        <v>6109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52</v>
      </c>
      <c r="O62" s="66">
        <v>2040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</row>
    <row r="63" spans="1:57" ht="15" customHeight="1">
      <c r="A63" s="76"/>
      <c r="B63" s="188" t="s">
        <v>200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15" ht="17.25" thickBot="1">
      <c r="A64" s="53"/>
      <c r="B64" s="221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ht="16.5">
      <c r="A65" s="99" t="s">
        <v>435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110"/>
      <c r="O65" s="109"/>
    </row>
    <row r="66" spans="3:14" ht="16.5">
      <c r="C66" s="95"/>
      <c r="D66" s="95"/>
      <c r="E66" s="95"/>
      <c r="F66" s="95"/>
      <c r="G66" s="95"/>
      <c r="H66" s="109"/>
      <c r="I66" s="109"/>
      <c r="J66" s="110"/>
      <c r="K66" s="109"/>
      <c r="L66" s="109"/>
      <c r="M66" s="109"/>
      <c r="N66" s="109"/>
    </row>
    <row r="67" spans="3:14" ht="16.5">
      <c r="C67" s="95"/>
      <c r="D67" s="95"/>
      <c r="E67" s="95"/>
      <c r="F67" s="95"/>
      <c r="G67" s="95"/>
      <c r="H67" s="109"/>
      <c r="I67" s="109"/>
      <c r="J67" s="110"/>
      <c r="K67" s="109"/>
      <c r="L67" s="109"/>
      <c r="M67" s="109"/>
      <c r="N67" s="109"/>
    </row>
    <row r="68" spans="3:14" ht="16.5">
      <c r="C68" s="102"/>
      <c r="D68" s="102"/>
      <c r="E68" s="102"/>
      <c r="F68" s="102"/>
      <c r="G68" s="102"/>
      <c r="H68" s="101"/>
      <c r="I68" s="102"/>
      <c r="J68" s="102"/>
      <c r="K68" s="102"/>
      <c r="L68" s="102"/>
      <c r="M68" s="102"/>
      <c r="N68" s="102"/>
    </row>
    <row r="69" spans="3:14" ht="16.5">
      <c r="C69" s="102"/>
      <c r="D69" s="102"/>
      <c r="E69" s="102"/>
      <c r="F69" s="102"/>
      <c r="H69" s="101"/>
      <c r="I69" s="102"/>
      <c r="J69" s="102"/>
      <c r="K69" s="102"/>
      <c r="L69" s="102"/>
      <c r="M69" s="102"/>
      <c r="N69" s="102"/>
    </row>
  </sheetData>
  <sheetProtection/>
  <mergeCells count="1">
    <mergeCell ref="N4:O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64"/>
  <sheetViews>
    <sheetView zoomScale="130" zoomScaleNormal="130" zoomScalePageLayoutView="0" workbookViewId="0" topLeftCell="A1">
      <pane ySplit="6" topLeftCell="A56" activePane="bottomLeft" state="frozen"/>
      <selection pane="topLeft" activeCell="A1" sqref="A1"/>
      <selection pane="bottomLeft" activeCell="H67" sqref="H67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5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6.5">
      <c r="A1" s="3" t="s">
        <v>444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463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449</v>
      </c>
      <c r="B2" s="112"/>
      <c r="C2" s="112"/>
      <c r="D2" s="112"/>
      <c r="E2" s="112"/>
      <c r="F2" s="112"/>
      <c r="G2" s="112"/>
      <c r="H2" s="112"/>
      <c r="I2" s="195" t="s">
        <v>462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225</v>
      </c>
      <c r="B3" s="116"/>
      <c r="C3" s="112"/>
      <c r="D3" s="112"/>
      <c r="E3" s="112"/>
      <c r="F3" s="112"/>
      <c r="G3" s="112"/>
      <c r="H3" s="112"/>
      <c r="I3" s="115" t="s">
        <v>227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212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39" t="s">
        <v>175</v>
      </c>
      <c r="B5" s="327"/>
      <c r="C5" s="150" t="s">
        <v>213</v>
      </c>
      <c r="D5" s="150" t="s">
        <v>493</v>
      </c>
      <c r="E5" s="150" t="s">
        <v>214</v>
      </c>
      <c r="F5" s="150" t="s">
        <v>215</v>
      </c>
      <c r="G5" s="150" t="s">
        <v>221</v>
      </c>
      <c r="H5" s="150" t="s">
        <v>222</v>
      </c>
      <c r="I5" s="159" t="s">
        <v>223</v>
      </c>
      <c r="J5" s="150" t="s">
        <v>224</v>
      </c>
      <c r="K5" s="150" t="s">
        <v>44</v>
      </c>
      <c r="L5" s="150" t="s">
        <v>216</v>
      </c>
      <c r="M5" s="150" t="s">
        <v>217</v>
      </c>
      <c r="N5" s="150" t="s">
        <v>220</v>
      </c>
      <c r="O5" s="150" t="s">
        <v>219</v>
      </c>
      <c r="P5" s="150" t="s">
        <v>218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204</v>
      </c>
      <c r="B6" s="123"/>
      <c r="C6" s="154" t="s">
        <v>187</v>
      </c>
      <c r="D6" s="152" t="s">
        <v>123</v>
      </c>
      <c r="E6" s="153" t="s">
        <v>228</v>
      </c>
      <c r="F6" s="152" t="s">
        <v>229</v>
      </c>
      <c r="G6" s="152" t="s">
        <v>230</v>
      </c>
      <c r="H6" s="154" t="s">
        <v>231</v>
      </c>
      <c r="I6" s="152" t="s">
        <v>232</v>
      </c>
      <c r="J6" s="152" t="s">
        <v>233</v>
      </c>
      <c r="K6" s="152" t="s">
        <v>234</v>
      </c>
      <c r="L6" s="152" t="s">
        <v>235</v>
      </c>
      <c r="M6" s="152" t="s">
        <v>236</v>
      </c>
      <c r="N6" s="152" t="s">
        <v>139</v>
      </c>
      <c r="O6" s="152" t="s">
        <v>237</v>
      </c>
      <c r="P6" s="152" t="s">
        <v>238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 hidden="1">
      <c r="A7" s="88" t="s">
        <v>386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 hidden="1">
      <c r="A8" s="88"/>
      <c r="B8" s="158" t="s">
        <v>239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0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 hidden="1">
      <c r="A9" s="138" t="s">
        <v>387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 hidden="1">
      <c r="A10" s="76"/>
      <c r="B10" s="188" t="s">
        <v>240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" customHeight="1" hidden="1">
      <c r="A11" s="88" t="s">
        <v>395</v>
      </c>
      <c r="B11" s="278" t="s">
        <v>27</v>
      </c>
      <c r="C11" s="66">
        <f>SUM(D11:P11)+SUM('6-3-1鄉預出續'!C11:O11)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" customHeight="1" hidden="1">
      <c r="A12" s="88"/>
      <c r="B12" s="279" t="s">
        <v>239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0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" customHeight="1" hidden="1">
      <c r="A13" s="138" t="s">
        <v>396</v>
      </c>
      <c r="B13" s="280" t="s">
        <v>4</v>
      </c>
      <c r="C13" s="66">
        <f>SUM(D13:P13)+SUM('6-3-1鄉預出續'!C13:O13)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" customHeight="1" hidden="1">
      <c r="A14" s="76"/>
      <c r="B14" s="281" t="s">
        <v>240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7" customFormat="1" ht="15" customHeight="1" hidden="1">
      <c r="A15" s="229" t="s">
        <v>504</v>
      </c>
      <c r="B15" s="282" t="s">
        <v>27</v>
      </c>
      <c r="C15" s="67">
        <f>SUM(D15:P15)+SUM('6-3-1鄉預出續'!C15:O15)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3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0">
        <v>6713</v>
      </c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pans="1:39" s="227" customFormat="1" ht="15" customHeight="1" hidden="1">
      <c r="A16" s="229"/>
      <c r="B16" s="283" t="s">
        <v>239</v>
      </c>
      <c r="C16" s="67"/>
      <c r="D16" s="67"/>
      <c r="E16" s="67"/>
      <c r="F16" s="67"/>
      <c r="G16" s="67"/>
      <c r="H16" s="67"/>
      <c r="I16" s="233"/>
      <c r="J16" s="67"/>
      <c r="K16" s="67"/>
      <c r="L16" s="67"/>
      <c r="M16" s="64"/>
      <c r="N16" s="67"/>
      <c r="O16" s="22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spans="1:17" s="227" customFormat="1" ht="15" customHeight="1" hidden="1">
      <c r="A17" s="228" t="s">
        <v>401</v>
      </c>
      <c r="B17" s="284" t="s">
        <v>4</v>
      </c>
      <c r="C17" s="67">
        <f>SUM(D17:P17)+SUM('6-3-1鄉預出續'!C17:O17)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3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2"/>
    </row>
    <row r="18" spans="1:17" ht="15" customHeight="1" hidden="1">
      <c r="A18" s="76"/>
      <c r="B18" s="281" t="s">
        <v>240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" customHeight="1" hidden="1">
      <c r="A19" s="229" t="s">
        <v>413</v>
      </c>
      <c r="B19" s="282" t="s">
        <v>27</v>
      </c>
      <c r="C19" s="67">
        <f>SUM(D19:P19)+SUM('6-3-1鄉預出續'!C19:O19)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3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0">
        <v>6962</v>
      </c>
      <c r="Q19" s="109"/>
    </row>
    <row r="20" spans="1:17" ht="15" customHeight="1" hidden="1">
      <c r="A20" s="229"/>
      <c r="B20" s="283" t="s">
        <v>239</v>
      </c>
      <c r="C20" s="67"/>
      <c r="D20" s="67"/>
      <c r="E20" s="67"/>
      <c r="F20" s="67"/>
      <c r="G20" s="67"/>
      <c r="H20" s="67"/>
      <c r="I20" s="233"/>
      <c r="J20" s="67"/>
      <c r="K20" s="67"/>
      <c r="L20" s="67"/>
      <c r="M20" s="64"/>
      <c r="N20" s="67"/>
      <c r="O20" s="220"/>
      <c r="P20" s="240"/>
      <c r="Q20" s="109"/>
    </row>
    <row r="21" spans="1:17" ht="15" customHeight="1" hidden="1">
      <c r="A21" s="228" t="s">
        <v>416</v>
      </c>
      <c r="B21" s="284" t="s">
        <v>4</v>
      </c>
      <c r="C21" s="67">
        <f>SUM(D21:P21)+SUM('6-3-1鄉預出續'!C21:O21)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3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" customHeight="1" hidden="1">
      <c r="A22" s="76"/>
      <c r="B22" s="281" t="s">
        <v>240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" customHeight="1">
      <c r="A23" s="229" t="s">
        <v>417</v>
      </c>
      <c r="B23" s="282" t="s">
        <v>27</v>
      </c>
      <c r="C23" s="67">
        <f>SUM(D23:P23)+SUM('6-3-1鄉預出續'!C23:O23)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3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0">
        <v>6858</v>
      </c>
      <c r="Q23" s="109"/>
    </row>
    <row r="24" spans="1:17" ht="15" customHeight="1">
      <c r="A24" s="229"/>
      <c r="B24" s="283" t="s">
        <v>239</v>
      </c>
      <c r="C24" s="67"/>
      <c r="D24" s="67"/>
      <c r="E24" s="67"/>
      <c r="F24" s="67"/>
      <c r="G24" s="67"/>
      <c r="H24" s="67"/>
      <c r="I24" s="233"/>
      <c r="J24" s="67"/>
      <c r="K24" s="67"/>
      <c r="L24" s="67"/>
      <c r="M24" s="64"/>
      <c r="N24" s="67"/>
      <c r="O24" s="220"/>
      <c r="P24" s="240"/>
      <c r="Q24" s="109"/>
    </row>
    <row r="25" spans="1:17" ht="15" customHeight="1">
      <c r="A25" s="228" t="s">
        <v>419</v>
      </c>
      <c r="B25" s="284" t="s">
        <v>4</v>
      </c>
      <c r="C25" s="67">
        <f>SUM(D25:P25)+SUM('6-3-1鄉預出續'!C25:O25)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3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" customHeight="1">
      <c r="A26" s="76"/>
      <c r="B26" s="281" t="s">
        <v>240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7" customFormat="1" ht="15" customHeight="1">
      <c r="A27" s="229" t="s">
        <v>439</v>
      </c>
      <c r="B27" s="282" t="s">
        <v>27</v>
      </c>
      <c r="C27" s="67">
        <f>SUM(D27:P27)+SUM('6-3-1鄉預出續'!C27:O27)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3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2"/>
    </row>
    <row r="28" spans="1:17" ht="15" customHeight="1">
      <c r="A28" s="229"/>
      <c r="B28" s="283" t="s">
        <v>239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" customHeight="1">
      <c r="A29" s="228" t="s">
        <v>440</v>
      </c>
      <c r="B29" s="284" t="s">
        <v>4</v>
      </c>
      <c r="C29" s="67">
        <f>SUM(D29:P29)+SUM('6-3-1鄉預出續'!C29:O29)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" customHeight="1">
      <c r="A30" s="76"/>
      <c r="B30" s="281" t="s">
        <v>240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7" customFormat="1" ht="15" customHeight="1">
      <c r="A31" s="229" t="s">
        <v>447</v>
      </c>
      <c r="B31" s="282" t="s">
        <v>27</v>
      </c>
      <c r="C31" s="67">
        <f>SUM(D31:P31)+SUM('6-3-1鄉預出續'!C31:O31)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3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2"/>
    </row>
    <row r="32" spans="1:17" ht="15" customHeight="1">
      <c r="A32" s="229"/>
      <c r="B32" s="283" t="s">
        <v>239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" customHeight="1">
      <c r="A33" s="228" t="s">
        <v>448</v>
      </c>
      <c r="B33" s="284" t="s">
        <v>4</v>
      </c>
      <c r="C33" s="67">
        <f>SUM(D33:P33)+SUM('6-3-1鄉預出續'!C33:O33)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" customHeight="1">
      <c r="A34" s="76"/>
      <c r="B34" s="281" t="s">
        <v>240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7" customFormat="1" ht="15" customHeight="1">
      <c r="A35" s="229" t="s">
        <v>474</v>
      </c>
      <c r="B35" s="282" t="s">
        <v>27</v>
      </c>
      <c r="C35" s="67">
        <f>SUM(D35:P35)+SUM('6-3-1鄉預出續'!C35:O35)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3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2"/>
    </row>
    <row r="36" spans="1:17" ht="15" customHeight="1">
      <c r="A36" s="229"/>
      <c r="B36" s="283" t="s">
        <v>199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" customHeight="1">
      <c r="A37" s="228" t="s">
        <v>475</v>
      </c>
      <c r="B37" s="284" t="s">
        <v>4</v>
      </c>
      <c r="C37" s="67">
        <f>SUM(D37:P37)+SUM('6-3-1鄉預出續'!C37:O37)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" customHeight="1">
      <c r="A38" s="76"/>
      <c r="B38" s="281" t="s">
        <v>200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s="227" customFormat="1" ht="15" customHeight="1">
      <c r="A39" s="229" t="s">
        <v>482</v>
      </c>
      <c r="B39" s="282" t="s">
        <v>27</v>
      </c>
      <c r="C39" s="67">
        <f>SUM(D39:P39)+SUM('6-3-1鄉預出續'!C39:O39)</f>
        <v>217664</v>
      </c>
      <c r="D39" s="67">
        <f>17221+1000</f>
        <v>18221</v>
      </c>
      <c r="E39" s="67">
        <f>17263+850</f>
        <v>18113</v>
      </c>
      <c r="F39" s="67">
        <f>20076+3756</f>
        <v>23832</v>
      </c>
      <c r="G39" s="67">
        <v>547</v>
      </c>
      <c r="H39" s="67">
        <v>10498</v>
      </c>
      <c r="I39" s="233">
        <v>0</v>
      </c>
      <c r="J39" s="67">
        <f>6452+1050</f>
        <v>7502</v>
      </c>
      <c r="K39" s="67">
        <f>26026+8660</f>
        <v>34686</v>
      </c>
      <c r="L39" s="67">
        <v>0</v>
      </c>
      <c r="M39" s="67">
        <f>5315+36700</f>
        <v>42015</v>
      </c>
      <c r="N39" s="67">
        <f>2013+23450</f>
        <v>25463</v>
      </c>
      <c r="O39" s="67">
        <f>390</f>
        <v>390</v>
      </c>
      <c r="P39" s="67">
        <f>10308</f>
        <v>10308</v>
      </c>
      <c r="Q39" s="242"/>
    </row>
    <row r="40" spans="1:17" ht="15" customHeight="1">
      <c r="A40" s="229"/>
      <c r="B40" s="283" t="s">
        <v>199</v>
      </c>
      <c r="C40" s="67"/>
      <c r="D40" s="66"/>
      <c r="E40" s="66"/>
      <c r="F40" s="66"/>
      <c r="G40" s="66"/>
      <c r="H40" s="66"/>
      <c r="I40" s="1"/>
      <c r="J40" s="66"/>
      <c r="K40" s="66"/>
      <c r="L40" s="66"/>
      <c r="M40" s="66"/>
      <c r="N40" s="66"/>
      <c r="O40" s="66"/>
      <c r="P40" s="66"/>
      <c r="Q40" s="109"/>
    </row>
    <row r="41" spans="1:17" ht="15" customHeight="1">
      <c r="A41" s="228" t="s">
        <v>484</v>
      </c>
      <c r="B41" s="284" t="s">
        <v>4</v>
      </c>
      <c r="C41" s="67">
        <f>SUM(D41:P41)+SUM('6-3-1鄉預出續'!C41:O41)</f>
        <v>365589.956</v>
      </c>
      <c r="D41" s="66">
        <f>17437+1197</f>
        <v>18634</v>
      </c>
      <c r="E41" s="66">
        <f>17363+4250</f>
        <v>21613</v>
      </c>
      <c r="F41" s="66">
        <f>21660.634+13567</f>
        <v>35227.634</v>
      </c>
      <c r="G41" s="66">
        <v>547</v>
      </c>
      <c r="H41" s="66">
        <v>12046</v>
      </c>
      <c r="I41" s="1">
        <v>0</v>
      </c>
      <c r="J41" s="66">
        <f>7755.95+1324.36</f>
        <v>9080.31</v>
      </c>
      <c r="K41" s="66">
        <f>54807+26482</f>
        <v>81289</v>
      </c>
      <c r="L41" s="66">
        <v>0</v>
      </c>
      <c r="M41" s="66">
        <f>5315+80501</f>
        <v>85816</v>
      </c>
      <c r="N41" s="66">
        <f>2013+60047</f>
        <v>62060</v>
      </c>
      <c r="O41" s="66">
        <f>390</f>
        <v>390</v>
      </c>
      <c r="P41" s="66">
        <f>10232</f>
        <v>10232</v>
      </c>
      <c r="Q41" s="109"/>
    </row>
    <row r="42" spans="1:17" ht="15" customHeight="1">
      <c r="A42" s="76"/>
      <c r="B42" s="281" t="s">
        <v>200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16" s="227" customFormat="1" ht="15" customHeight="1">
      <c r="A43" s="229" t="s">
        <v>491</v>
      </c>
      <c r="B43" s="282" t="s">
        <v>27</v>
      </c>
      <c r="C43" s="67">
        <f>SUM(D43:P43)+SUM('6-3-1鄉預出續'!C43:O43)</f>
        <v>208926</v>
      </c>
      <c r="D43" s="67">
        <f>14111+1350</f>
        <v>15461</v>
      </c>
      <c r="E43" s="67">
        <f>20377+4204</f>
        <v>24581</v>
      </c>
      <c r="F43" s="67">
        <f>22394+2307</f>
        <v>24701</v>
      </c>
      <c r="G43" s="67">
        <v>577</v>
      </c>
      <c r="H43" s="67">
        <v>8315</v>
      </c>
      <c r="I43" s="233">
        <v>0</v>
      </c>
      <c r="J43" s="67">
        <f>7250+151</f>
        <v>7401</v>
      </c>
      <c r="K43" s="67">
        <f>21533+33911</f>
        <v>55444</v>
      </c>
      <c r="L43" s="67">
        <v>0</v>
      </c>
      <c r="M43" s="67">
        <f>5294+4600</f>
        <v>9894</v>
      </c>
      <c r="N43" s="67">
        <f>2115+15250</f>
        <v>17365</v>
      </c>
      <c r="O43" s="67">
        <v>420</v>
      </c>
      <c r="P43" s="67">
        <v>12858</v>
      </c>
    </row>
    <row r="44" spans="1:16" ht="15" customHeight="1">
      <c r="A44" s="229"/>
      <c r="B44" s="283" t="s">
        <v>199</v>
      </c>
      <c r="C44" s="67"/>
      <c r="D44" s="66"/>
      <c r="E44" s="66"/>
      <c r="F44" s="66"/>
      <c r="G44" s="66"/>
      <c r="H44" s="66"/>
      <c r="I44" s="1"/>
      <c r="J44" s="66"/>
      <c r="K44" s="66"/>
      <c r="L44" s="66"/>
      <c r="M44" s="66"/>
      <c r="N44" s="66"/>
      <c r="O44" s="66"/>
      <c r="P44" s="66"/>
    </row>
    <row r="45" spans="1:16" ht="15" customHeight="1">
      <c r="A45" s="228" t="s">
        <v>492</v>
      </c>
      <c r="B45" s="284" t="s">
        <v>4</v>
      </c>
      <c r="C45" s="67">
        <f>SUM(D45:P45)+SUM('6-3-1鄉預出續'!C45:O45)</f>
        <v>315752</v>
      </c>
      <c r="D45" s="66">
        <f>14438+1449</f>
        <v>15887</v>
      </c>
      <c r="E45" s="66">
        <f>20468+8204</f>
        <v>28672</v>
      </c>
      <c r="F45" s="66">
        <f>26370+8372</f>
        <v>34742</v>
      </c>
      <c r="G45" s="66">
        <v>1199</v>
      </c>
      <c r="H45" s="66">
        <v>8295</v>
      </c>
      <c r="I45" s="1">
        <v>0</v>
      </c>
      <c r="J45" s="66">
        <f>9092+3286</f>
        <v>12378</v>
      </c>
      <c r="K45" s="66">
        <f>31384+19800</f>
        <v>51184</v>
      </c>
      <c r="L45" s="66">
        <v>0</v>
      </c>
      <c r="M45" s="66">
        <f>5294+28338</f>
        <v>33632</v>
      </c>
      <c r="N45" s="66">
        <f>2115+75803</f>
        <v>77918</v>
      </c>
      <c r="O45" s="66">
        <f>420+7209</f>
        <v>7629</v>
      </c>
      <c r="P45" s="66">
        <v>13551</v>
      </c>
    </row>
    <row r="46" spans="1:16" ht="15" customHeight="1">
      <c r="A46" s="76"/>
      <c r="B46" s="281" t="s">
        <v>200</v>
      </c>
      <c r="C46" s="66"/>
      <c r="D46" s="66"/>
      <c r="E46" s="66"/>
      <c r="F46" s="66"/>
      <c r="G46" s="66"/>
      <c r="H46" s="66"/>
      <c r="I46" s="1"/>
      <c r="J46" s="66"/>
      <c r="K46" s="66"/>
      <c r="L46" s="66"/>
      <c r="M46" s="66"/>
      <c r="N46" s="66"/>
      <c r="O46" s="66"/>
      <c r="P46" s="66"/>
    </row>
    <row r="47" spans="1:16" s="227" customFormat="1" ht="15" customHeight="1">
      <c r="A47" s="229" t="s">
        <v>497</v>
      </c>
      <c r="B47" s="282" t="s">
        <v>27</v>
      </c>
      <c r="C47" s="67">
        <f>SUM(D47:P47)+SUM('6-3-1鄉預出續'!C47:O47)</f>
        <v>202333</v>
      </c>
      <c r="D47" s="67">
        <f>16335+1850</f>
        <v>18185</v>
      </c>
      <c r="E47" s="67">
        <f>19684+1500</f>
        <v>21184</v>
      </c>
      <c r="F47" s="67">
        <f>21902+2350</f>
        <v>24252</v>
      </c>
      <c r="G47" s="67">
        <v>620</v>
      </c>
      <c r="H47" s="67">
        <v>4990</v>
      </c>
      <c r="I47" s="233">
        <v>0</v>
      </c>
      <c r="J47" s="67">
        <f>8097+261</f>
        <v>8358</v>
      </c>
      <c r="K47" s="67">
        <f>12430+22780</f>
        <v>35210</v>
      </c>
      <c r="L47" s="67">
        <v>0</v>
      </c>
      <c r="M47" s="67">
        <f>5517+4600</f>
        <v>10117</v>
      </c>
      <c r="N47" s="67">
        <f>10169+23000</f>
        <v>33169</v>
      </c>
      <c r="O47" s="67">
        <v>436</v>
      </c>
      <c r="P47" s="67">
        <v>13093</v>
      </c>
    </row>
    <row r="48" spans="1:16" ht="15" customHeight="1">
      <c r="A48" s="229"/>
      <c r="B48" s="283" t="s">
        <v>199</v>
      </c>
      <c r="C48" s="67"/>
      <c r="D48" s="66"/>
      <c r="E48" s="66"/>
      <c r="F48" s="66"/>
      <c r="G48" s="66"/>
      <c r="H48" s="66"/>
      <c r="I48" s="1"/>
      <c r="J48" s="66"/>
      <c r="K48" s="66"/>
      <c r="L48" s="66"/>
      <c r="M48" s="66"/>
      <c r="N48" s="66"/>
      <c r="O48" s="66"/>
      <c r="P48" s="66"/>
    </row>
    <row r="49" spans="1:16" s="227" customFormat="1" ht="15" customHeight="1">
      <c r="A49" s="228" t="s">
        <v>498</v>
      </c>
      <c r="B49" s="284" t="s">
        <v>4</v>
      </c>
      <c r="C49" s="67">
        <f>SUM(D49:P49)+SUM('6-3-1鄉預出續'!C49:O49)</f>
        <v>352459</v>
      </c>
      <c r="D49" s="67">
        <f>16405+3746</f>
        <v>20151</v>
      </c>
      <c r="E49" s="67">
        <f>19854+2400</f>
        <v>22254</v>
      </c>
      <c r="F49" s="67">
        <f>23608+26984</f>
        <v>50592</v>
      </c>
      <c r="G49" s="67">
        <v>620</v>
      </c>
      <c r="H49" s="67">
        <v>4990</v>
      </c>
      <c r="I49" s="233">
        <v>0</v>
      </c>
      <c r="J49" s="67">
        <f>9623+281</f>
        <v>9904</v>
      </c>
      <c r="K49" s="67">
        <f>88855+63088</f>
        <v>151943</v>
      </c>
      <c r="L49" s="67">
        <v>0</v>
      </c>
      <c r="M49" s="67">
        <f>5517+16931</f>
        <v>22448</v>
      </c>
      <c r="N49" s="67">
        <f>13539+5870</f>
        <v>19409</v>
      </c>
      <c r="O49" s="67">
        <v>436</v>
      </c>
      <c r="P49" s="67">
        <f>14457+4881</f>
        <v>19338</v>
      </c>
    </row>
    <row r="50" spans="1:16" ht="15" customHeight="1">
      <c r="A50" s="76"/>
      <c r="B50" s="281" t="s">
        <v>200</v>
      </c>
      <c r="C50" s="66"/>
      <c r="D50" s="66"/>
      <c r="E50" s="66"/>
      <c r="F50" s="66"/>
      <c r="G50" s="66"/>
      <c r="H50" s="66"/>
      <c r="I50" s="1"/>
      <c r="J50" s="66"/>
      <c r="K50" s="66"/>
      <c r="L50" s="66"/>
      <c r="M50" s="66"/>
      <c r="N50" s="66"/>
      <c r="O50" s="66"/>
      <c r="P50" s="66"/>
    </row>
    <row r="51" spans="1:16" s="227" customFormat="1" ht="15" customHeight="1">
      <c r="A51" s="229" t="s">
        <v>501</v>
      </c>
      <c r="B51" s="282" t="s">
        <v>27</v>
      </c>
      <c r="C51" s="67">
        <f>SUM(D51:P51)+SUM('6-3-1鄉預出續'!C51:O51)</f>
        <v>178518</v>
      </c>
      <c r="D51" s="67">
        <f>16645+930</f>
        <v>17575</v>
      </c>
      <c r="E51" s="67">
        <f>22579+1800</f>
        <v>24379</v>
      </c>
      <c r="F51" s="67">
        <f>21885+11700</f>
        <v>33585</v>
      </c>
      <c r="G51" s="67">
        <f>547</f>
        <v>547</v>
      </c>
      <c r="H51" s="67">
        <v>4528</v>
      </c>
      <c r="I51" s="233">
        <v>0</v>
      </c>
      <c r="J51" s="67">
        <f>8103+21</f>
        <v>8124</v>
      </c>
      <c r="K51" s="67">
        <f>10595+2000</f>
        <v>12595</v>
      </c>
      <c r="L51" s="67">
        <v>0</v>
      </c>
      <c r="M51" s="67">
        <f>6452+5400</f>
        <v>11852</v>
      </c>
      <c r="N51" s="67">
        <f>9328+13330</f>
        <v>22658</v>
      </c>
      <c r="O51" s="67">
        <v>430</v>
      </c>
      <c r="P51" s="67">
        <v>7020</v>
      </c>
    </row>
    <row r="52" spans="1:16" s="227" customFormat="1" ht="15" customHeight="1">
      <c r="A52" s="229"/>
      <c r="B52" s="283" t="s">
        <v>199</v>
      </c>
      <c r="C52" s="67"/>
      <c r="D52" s="67"/>
      <c r="E52" s="67"/>
      <c r="F52" s="67"/>
      <c r="G52" s="67"/>
      <c r="H52" s="67"/>
      <c r="I52" s="233"/>
      <c r="J52" s="67"/>
      <c r="K52" s="67"/>
      <c r="L52" s="67"/>
      <c r="M52" s="67"/>
      <c r="N52" s="67"/>
      <c r="O52" s="67"/>
      <c r="P52" s="67"/>
    </row>
    <row r="53" spans="1:16" s="227" customFormat="1" ht="15" customHeight="1">
      <c r="A53" s="228" t="s">
        <v>503</v>
      </c>
      <c r="B53" s="284" t="s">
        <v>4</v>
      </c>
      <c r="C53" s="67">
        <f>SUM(D53:P53)+SUM('6-3-1鄉預出續'!C53:O53)</f>
        <v>556112</v>
      </c>
      <c r="D53" s="67">
        <f>16795+930</f>
        <v>17725</v>
      </c>
      <c r="E53" s="67">
        <f>22981+1800</f>
        <v>24781</v>
      </c>
      <c r="F53" s="67">
        <f>28431+22879</f>
        <v>51310</v>
      </c>
      <c r="G53" s="67">
        <v>547</v>
      </c>
      <c r="H53" s="67">
        <v>4528</v>
      </c>
      <c r="I53" s="233">
        <v>0</v>
      </c>
      <c r="J53" s="67">
        <f>7516+21</f>
        <v>7537</v>
      </c>
      <c r="K53" s="67">
        <f>53722+2000</f>
        <v>55722</v>
      </c>
      <c r="L53" s="67">
        <v>0</v>
      </c>
      <c r="M53" s="67">
        <f>6452+252579</f>
        <v>259031</v>
      </c>
      <c r="N53" s="67">
        <f>13793+72830</f>
        <v>86623</v>
      </c>
      <c r="O53" s="67">
        <v>430</v>
      </c>
      <c r="P53" s="67">
        <f>7065+500</f>
        <v>7565</v>
      </c>
    </row>
    <row r="54" spans="1:16" s="227" customFormat="1" ht="15" customHeight="1">
      <c r="A54" s="228"/>
      <c r="B54" s="284" t="s">
        <v>508</v>
      </c>
      <c r="C54" s="67"/>
      <c r="D54" s="67"/>
      <c r="E54" s="67"/>
      <c r="F54" s="67"/>
      <c r="G54" s="67"/>
      <c r="H54" s="67"/>
      <c r="I54" s="233"/>
      <c r="J54" s="67"/>
      <c r="K54" s="67"/>
      <c r="L54" s="67"/>
      <c r="M54" s="67"/>
      <c r="N54" s="67"/>
      <c r="O54" s="67"/>
      <c r="P54" s="67"/>
    </row>
    <row r="55" spans="1:16" s="227" customFormat="1" ht="15" customHeight="1">
      <c r="A55" s="229" t="s">
        <v>509</v>
      </c>
      <c r="B55" s="282" t="s">
        <v>27</v>
      </c>
      <c r="C55" s="67">
        <f>SUM(D55:P55)+SUM('6-3-1鄉預出續'!C55:O55)</f>
        <v>174382</v>
      </c>
      <c r="D55" s="67">
        <f>16675+200</f>
        <v>16875</v>
      </c>
      <c r="E55" s="67">
        <f>22933+1420</f>
        <v>24353</v>
      </c>
      <c r="F55" s="67">
        <f>21515+12368</f>
        <v>33883</v>
      </c>
      <c r="G55" s="67">
        <v>513</v>
      </c>
      <c r="H55" s="67">
        <v>4455</v>
      </c>
      <c r="I55" s="233">
        <v>0</v>
      </c>
      <c r="J55" s="67">
        <f>8826+50</f>
        <v>8876</v>
      </c>
      <c r="K55" s="67">
        <f>10455+2130</f>
        <v>12585</v>
      </c>
      <c r="L55" s="67">
        <v>0</v>
      </c>
      <c r="M55" s="67">
        <f>7305+5300</f>
        <v>12605</v>
      </c>
      <c r="N55" s="67">
        <f>10548+11630</f>
        <v>22178</v>
      </c>
      <c r="O55" s="67">
        <v>430</v>
      </c>
      <c r="P55" s="67">
        <v>7546</v>
      </c>
    </row>
    <row r="56" spans="1:16" s="227" customFormat="1" ht="15" customHeight="1">
      <c r="A56" s="229"/>
      <c r="B56" s="283" t="s">
        <v>199</v>
      </c>
      <c r="C56" s="67"/>
      <c r="D56" s="67"/>
      <c r="E56" s="67"/>
      <c r="F56" s="67"/>
      <c r="G56" s="67"/>
      <c r="H56" s="67"/>
      <c r="I56" s="233"/>
      <c r="J56" s="67"/>
      <c r="K56" s="67"/>
      <c r="L56" s="67"/>
      <c r="M56" s="67"/>
      <c r="N56" s="67"/>
      <c r="O56" s="67"/>
      <c r="P56" s="67"/>
    </row>
    <row r="57" spans="1:16" s="227" customFormat="1" ht="15" customHeight="1">
      <c r="A57" s="228" t="s">
        <v>506</v>
      </c>
      <c r="B57" s="284" t="s">
        <v>4</v>
      </c>
      <c r="C57" s="67">
        <f>SUM(D57:P57)+SUM('6-3-1鄉預出續'!C57:O57)</f>
        <v>292626</v>
      </c>
      <c r="D57" s="67">
        <f>16805+200</f>
        <v>17005</v>
      </c>
      <c r="E57" s="67">
        <f>22394+2820</f>
        <v>25214</v>
      </c>
      <c r="F57" s="67">
        <f>24324+17344</f>
        <v>41668</v>
      </c>
      <c r="G57" s="67">
        <v>490</v>
      </c>
      <c r="H57" s="67">
        <v>4500</v>
      </c>
      <c r="I57" s="233">
        <v>0</v>
      </c>
      <c r="J57" s="67">
        <f>7336+2050</f>
        <v>9386</v>
      </c>
      <c r="K57" s="67">
        <f>63391+3730</f>
        <v>67121</v>
      </c>
      <c r="L57" s="67">
        <v>0</v>
      </c>
      <c r="M57" s="67">
        <f>9573+51325</f>
        <v>60898</v>
      </c>
      <c r="N57" s="67">
        <f>12140+15130</f>
        <v>27270</v>
      </c>
      <c r="O57" s="67">
        <v>430</v>
      </c>
      <c r="P57" s="67">
        <f>8346+1700</f>
        <v>10046</v>
      </c>
    </row>
    <row r="58" spans="1:16" s="227" customFormat="1" ht="15" customHeight="1">
      <c r="A58" s="228"/>
      <c r="B58" s="284" t="s">
        <v>508</v>
      </c>
      <c r="C58" s="67"/>
      <c r="D58" s="67"/>
      <c r="E58" s="67"/>
      <c r="F58" s="67"/>
      <c r="G58" s="67"/>
      <c r="H58" s="67"/>
      <c r="I58" s="233"/>
      <c r="J58" s="67"/>
      <c r="K58" s="67"/>
      <c r="L58" s="67"/>
      <c r="M58" s="67"/>
      <c r="N58" s="67"/>
      <c r="O58" s="67"/>
      <c r="P58" s="67"/>
    </row>
    <row r="59" spans="1:16" s="227" customFormat="1" ht="15" customHeight="1">
      <c r="A59" s="229" t="s">
        <v>546</v>
      </c>
      <c r="B59" s="282" t="s">
        <v>27</v>
      </c>
      <c r="C59" s="67">
        <f>SUM(D59:P59)+SUM('6-3-1鄉預出續'!C59:O59)</f>
        <v>212842</v>
      </c>
      <c r="D59" s="67">
        <f>16837+492</f>
        <v>17329</v>
      </c>
      <c r="E59" s="67">
        <f>23181+1803</f>
        <v>24984</v>
      </c>
      <c r="F59" s="67">
        <f>24194+2496</f>
        <v>26690</v>
      </c>
      <c r="G59" s="67">
        <v>521</v>
      </c>
      <c r="H59" s="67">
        <v>4505</v>
      </c>
      <c r="I59" s="233">
        <v>0</v>
      </c>
      <c r="J59" s="67">
        <f>9749+15550</f>
        <v>25299</v>
      </c>
      <c r="K59" s="67">
        <f>17672+4630</f>
        <v>22302</v>
      </c>
      <c r="L59" s="67">
        <v>0</v>
      </c>
      <c r="M59" s="67">
        <f>7398+7740</f>
        <v>15138</v>
      </c>
      <c r="N59" s="67">
        <f>13225+13180</f>
        <v>26405</v>
      </c>
      <c r="O59" s="67">
        <v>452</v>
      </c>
      <c r="P59" s="67">
        <v>15090</v>
      </c>
    </row>
    <row r="60" spans="1:16" s="227" customFormat="1" ht="15" customHeight="1">
      <c r="A60" s="229"/>
      <c r="B60" s="283" t="s">
        <v>199</v>
      </c>
      <c r="C60" s="67"/>
      <c r="D60" s="67"/>
      <c r="E60" s="67"/>
      <c r="F60" s="67"/>
      <c r="G60" s="67"/>
      <c r="H60" s="67"/>
      <c r="I60" s="233"/>
      <c r="J60" s="67"/>
      <c r="K60" s="67"/>
      <c r="L60" s="67"/>
      <c r="M60" s="67"/>
      <c r="N60" s="67"/>
      <c r="O60" s="67"/>
      <c r="P60" s="67"/>
    </row>
    <row r="61" spans="1:16" s="227" customFormat="1" ht="15" customHeight="1">
      <c r="A61" s="228" t="s">
        <v>547</v>
      </c>
      <c r="B61" s="284" t="s">
        <v>4</v>
      </c>
      <c r="C61" s="67">
        <f>SUM(D61:P61)+SUM('6-3-1鄉預出續'!C61:O61)</f>
        <v>392428</v>
      </c>
      <c r="D61" s="67">
        <f>17388+1442</f>
        <v>18830</v>
      </c>
      <c r="E61" s="67">
        <f>23201+1954</f>
        <v>25155</v>
      </c>
      <c r="F61" s="67">
        <f>27067+24845</f>
        <v>51912</v>
      </c>
      <c r="G61" s="67">
        <v>521</v>
      </c>
      <c r="H61" s="67">
        <v>4535</v>
      </c>
      <c r="I61" s="233">
        <v>0</v>
      </c>
      <c r="J61" s="67">
        <f>10696+15542</f>
        <v>26238</v>
      </c>
      <c r="K61" s="67">
        <f>67172+4630</f>
        <v>71802</v>
      </c>
      <c r="L61" s="67">
        <v>0</v>
      </c>
      <c r="M61" s="67">
        <f>7528+92914</f>
        <v>100442</v>
      </c>
      <c r="N61" s="67">
        <f>14819+13430</f>
        <v>28249</v>
      </c>
      <c r="O61" s="67">
        <v>452</v>
      </c>
      <c r="P61" s="67">
        <f>15165+250</f>
        <v>15415</v>
      </c>
    </row>
    <row r="62" spans="1:16" s="227" customFormat="1" ht="15" customHeight="1">
      <c r="A62" s="228"/>
      <c r="B62" s="284" t="s">
        <v>200</v>
      </c>
      <c r="C62" s="67"/>
      <c r="D62" s="67"/>
      <c r="E62" s="67"/>
      <c r="F62" s="67"/>
      <c r="G62" s="67"/>
      <c r="H62" s="67"/>
      <c r="I62" s="233"/>
      <c r="J62" s="67"/>
      <c r="K62" s="67"/>
      <c r="L62" s="67"/>
      <c r="M62" s="67"/>
      <c r="N62" s="67"/>
      <c r="O62" s="67"/>
      <c r="P62" s="67"/>
    </row>
    <row r="63" spans="1:16" ht="15" customHeight="1" thickBot="1">
      <c r="A63" s="53"/>
      <c r="B63" s="286"/>
      <c r="C63" s="68"/>
      <c r="D63" s="68"/>
      <c r="E63" s="68"/>
      <c r="F63" s="68"/>
      <c r="G63" s="68"/>
      <c r="H63" s="68"/>
      <c r="I63" s="2"/>
      <c r="J63" s="68"/>
      <c r="K63" s="68"/>
      <c r="L63" s="68"/>
      <c r="M63" s="68"/>
      <c r="N63" s="68"/>
      <c r="O63" s="68"/>
      <c r="P63" s="68"/>
    </row>
    <row r="64" ht="16.5">
      <c r="A64" s="99" t="s">
        <v>437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8"/>
  <sheetViews>
    <sheetView zoomScale="130" zoomScaleNormal="130" zoomScaleSheetLayoutView="100" zoomScalePageLayoutView="0" workbookViewId="0" topLeftCell="A1">
      <pane ySplit="6" topLeftCell="A59" activePane="bottomLeft" state="frozen"/>
      <selection pane="topLeft" activeCell="A1" sqref="A1"/>
      <selection pane="bottomLeft" activeCell="O61" sqref="O61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6.5">
      <c r="A1" s="3" t="s">
        <v>464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465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">
      <c r="A2" s="112" t="s">
        <v>407</v>
      </c>
      <c r="B2" s="112"/>
      <c r="C2" s="112"/>
      <c r="D2" s="112"/>
      <c r="E2" s="112"/>
      <c r="F2" s="112"/>
      <c r="G2" s="112"/>
      <c r="H2" s="112"/>
      <c r="I2" s="195" t="s">
        <v>408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252</v>
      </c>
      <c r="B3" s="112"/>
      <c r="C3" s="112"/>
      <c r="D3" s="112"/>
      <c r="E3" s="112"/>
      <c r="F3" s="112"/>
      <c r="G3" s="112"/>
      <c r="H3" s="112"/>
      <c r="I3" s="115" t="s">
        <v>252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59" t="s">
        <v>55</v>
      </c>
      <c r="O4" s="359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241</v>
      </c>
      <c r="B5" s="196"/>
      <c r="C5" s="150" t="s">
        <v>242</v>
      </c>
      <c r="D5" s="150" t="s">
        <v>343</v>
      </c>
      <c r="E5" s="150" t="s">
        <v>243</v>
      </c>
      <c r="F5" s="150" t="s">
        <v>244</v>
      </c>
      <c r="G5" s="150" t="s">
        <v>245</v>
      </c>
      <c r="H5" s="150" t="s">
        <v>246</v>
      </c>
      <c r="I5" s="159" t="s">
        <v>247</v>
      </c>
      <c r="J5" s="150" t="s">
        <v>156</v>
      </c>
      <c r="K5" s="150" t="s">
        <v>150</v>
      </c>
      <c r="L5" s="150" t="s">
        <v>263</v>
      </c>
      <c r="M5" s="150" t="s">
        <v>248</v>
      </c>
      <c r="N5" s="150" t="s">
        <v>249</v>
      </c>
      <c r="O5" s="126" t="s">
        <v>250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204</v>
      </c>
      <c r="B6" s="123"/>
      <c r="C6" s="197" t="s">
        <v>251</v>
      </c>
      <c r="D6" s="154" t="s">
        <v>253</v>
      </c>
      <c r="E6" s="154" t="s">
        <v>144</v>
      </c>
      <c r="F6" s="154" t="s">
        <v>254</v>
      </c>
      <c r="G6" s="154" t="s">
        <v>255</v>
      </c>
      <c r="H6" s="154" t="s">
        <v>256</v>
      </c>
      <c r="I6" s="152" t="s">
        <v>257</v>
      </c>
      <c r="J6" s="152" t="s">
        <v>258</v>
      </c>
      <c r="K6" s="154" t="s">
        <v>259</v>
      </c>
      <c r="L6" s="154" t="s">
        <v>260</v>
      </c>
      <c r="M6" s="154" t="s">
        <v>261</v>
      </c>
      <c r="N6" s="154" t="s">
        <v>262</v>
      </c>
      <c r="O6" s="198" t="s">
        <v>264</v>
      </c>
    </row>
    <row r="7" spans="1:26" ht="15" customHeight="1" hidden="1">
      <c r="A7" s="88" t="s">
        <v>386</v>
      </c>
      <c r="B7" s="59" t="s">
        <v>56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hidden="1">
      <c r="A8" s="88"/>
      <c r="B8" s="158" t="s">
        <v>265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 hidden="1">
      <c r="A9" s="138" t="s">
        <v>387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266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26" ht="15" customHeight="1" hidden="1">
      <c r="A11" s="88" t="s">
        <v>395</v>
      </c>
      <c r="B11" s="59" t="s">
        <v>56</v>
      </c>
      <c r="C11" s="66">
        <v>4624</v>
      </c>
      <c r="D11" s="66">
        <v>0</v>
      </c>
      <c r="E11" s="66">
        <v>0</v>
      </c>
      <c r="F11" s="66">
        <v>1018</v>
      </c>
      <c r="G11" s="66">
        <v>6980</v>
      </c>
      <c r="H11" s="66">
        <v>4550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3">
        <v>675</v>
      </c>
      <c r="O11" s="63">
        <v>1990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 hidden="1">
      <c r="A12" s="88"/>
      <c r="B12" s="158" t="s">
        <v>265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3"/>
      <c r="O12" s="63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57" ht="15" customHeight="1" hidden="1">
      <c r="A13" s="138" t="s">
        <v>396</v>
      </c>
      <c r="B13" s="89" t="s">
        <v>4</v>
      </c>
      <c r="C13" s="66">
        <f>4800+179</f>
        <v>4979</v>
      </c>
      <c r="D13" s="66">
        <v>0</v>
      </c>
      <c r="E13" s="66">
        <v>0</v>
      </c>
      <c r="F13" s="66">
        <v>2059</v>
      </c>
      <c r="G13" s="66">
        <f>8020.41+4325</f>
        <v>12345.41</v>
      </c>
      <c r="H13" s="66">
        <v>5380.598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1.192</v>
      </c>
      <c r="O13" s="66">
        <v>2113.4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</row>
    <row r="14" spans="1:57" ht="15" customHeight="1" hidden="1">
      <c r="A14" s="76"/>
      <c r="B14" s="188" t="s">
        <v>266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26" ht="15" customHeight="1" hidden="1">
      <c r="A15" s="88" t="s">
        <v>397</v>
      </c>
      <c r="B15" s="59" t="s">
        <v>56</v>
      </c>
      <c r="C15" s="66">
        <v>4802</v>
      </c>
      <c r="D15" s="66">
        <v>0</v>
      </c>
      <c r="E15" s="66">
        <v>0</v>
      </c>
      <c r="F15" s="66">
        <v>1297</v>
      </c>
      <c r="G15" s="66">
        <v>7750</v>
      </c>
      <c r="H15" s="66">
        <v>6456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3">
        <v>1000</v>
      </c>
      <c r="O15" s="63">
        <v>2407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 hidden="1">
      <c r="A16" s="88"/>
      <c r="B16" s="158" t="s">
        <v>265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3"/>
      <c r="O16" s="63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57" ht="15" customHeight="1" hidden="1">
      <c r="A17" s="138" t="s">
        <v>398</v>
      </c>
      <c r="B17" s="89" t="s">
        <v>4</v>
      </c>
      <c r="C17" s="66">
        <v>4908.51</v>
      </c>
      <c r="D17" s="66">
        <v>0</v>
      </c>
      <c r="E17" s="66">
        <v>0</v>
      </c>
      <c r="F17" s="66">
        <v>1345</v>
      </c>
      <c r="G17" s="66">
        <f>7400+1062</f>
        <v>8462</v>
      </c>
      <c r="H17" s="66">
        <v>8335.014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162.41</v>
      </c>
      <c r="O17" s="66">
        <v>2307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</row>
    <row r="18" spans="1:57" ht="15" customHeight="1" hidden="1">
      <c r="A18" s="138"/>
      <c r="B18" s="89" t="s">
        <v>510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" customHeight="1" hidden="1">
      <c r="A19" s="88" t="s">
        <v>413</v>
      </c>
      <c r="B19" s="59" t="s">
        <v>56</v>
      </c>
      <c r="C19" s="66">
        <v>4921</v>
      </c>
      <c r="D19" s="66">
        <v>0</v>
      </c>
      <c r="E19" s="66">
        <v>0</v>
      </c>
      <c r="F19" s="66">
        <v>1274</v>
      </c>
      <c r="G19" s="66">
        <v>7763</v>
      </c>
      <c r="H19" s="66">
        <v>5292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3">
        <v>650</v>
      </c>
      <c r="O19" s="63">
        <v>2240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" customHeight="1" hidden="1">
      <c r="A20" s="88"/>
      <c r="B20" s="158" t="s">
        <v>265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3"/>
      <c r="O20" s="63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" customHeight="1" hidden="1">
      <c r="A21" s="138" t="s">
        <v>416</v>
      </c>
      <c r="B21" s="89" t="s">
        <v>4</v>
      </c>
      <c r="C21" s="66">
        <v>4941</v>
      </c>
      <c r="D21" s="66">
        <v>0</v>
      </c>
      <c r="E21" s="66">
        <v>0</v>
      </c>
      <c r="F21" s="66">
        <v>1784</v>
      </c>
      <c r="G21" s="66">
        <v>7993</v>
      </c>
      <c r="H21" s="66">
        <v>6109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52</v>
      </c>
      <c r="O21" s="66">
        <v>2040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" customHeight="1" hidden="1">
      <c r="A22" s="76"/>
      <c r="B22" s="188" t="s">
        <v>266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" customHeight="1">
      <c r="A23" s="88" t="s">
        <v>417</v>
      </c>
      <c r="B23" s="59" t="s">
        <v>56</v>
      </c>
      <c r="C23" s="66">
        <v>4972</v>
      </c>
      <c r="D23" s="66">
        <v>0</v>
      </c>
      <c r="E23" s="66">
        <v>0</v>
      </c>
      <c r="F23" s="66">
        <v>1463</v>
      </c>
      <c r="G23" s="66">
        <v>7544</v>
      </c>
      <c r="H23" s="66">
        <v>6196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3">
        <v>500</v>
      </c>
      <c r="O23" s="63">
        <v>2500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" customHeight="1">
      <c r="A24" s="88"/>
      <c r="B24" s="158" t="s">
        <v>265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3"/>
      <c r="O24" s="63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" customHeight="1">
      <c r="A25" s="138" t="s">
        <v>419</v>
      </c>
      <c r="B25" s="89" t="s">
        <v>4</v>
      </c>
      <c r="C25" s="66">
        <v>4982</v>
      </c>
      <c r="D25" s="66">
        <v>0</v>
      </c>
      <c r="E25" s="66">
        <v>0</v>
      </c>
      <c r="F25" s="66">
        <v>1488</v>
      </c>
      <c r="G25" s="66">
        <v>8147.737</v>
      </c>
      <c r="H25" s="66">
        <v>6206.301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2.977</v>
      </c>
      <c r="O25" s="66">
        <v>2611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" customHeight="1">
      <c r="A26" s="76"/>
      <c r="B26" s="188" t="s">
        <v>266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" customHeight="1">
      <c r="A27" s="88" t="s">
        <v>439</v>
      </c>
      <c r="B27" s="59" t="s">
        <v>56</v>
      </c>
      <c r="C27" s="66">
        <v>5650</v>
      </c>
      <c r="D27" s="66">
        <v>0</v>
      </c>
      <c r="E27" s="66">
        <v>0</v>
      </c>
      <c r="F27" s="66">
        <v>1358</v>
      </c>
      <c r="G27" s="66">
        <v>7654</v>
      </c>
      <c r="H27" s="66">
        <v>6506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1000</v>
      </c>
      <c r="O27" s="66">
        <f>900+1490</f>
        <v>2390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" customHeight="1">
      <c r="A28" s="88"/>
      <c r="B28" s="158" t="s">
        <v>265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" customHeight="1">
      <c r="A29" s="138" t="s">
        <v>440</v>
      </c>
      <c r="B29" s="89" t="s">
        <v>4</v>
      </c>
      <c r="C29" s="66">
        <v>5690</v>
      </c>
      <c r="D29" s="66">
        <v>0</v>
      </c>
      <c r="E29" s="66">
        <v>0</v>
      </c>
      <c r="F29" s="66">
        <v>1369</v>
      </c>
      <c r="G29" s="66">
        <f>8430.135+45</f>
        <v>8475.135</v>
      </c>
      <c r="H29" s="66">
        <v>6506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35.433</v>
      </c>
      <c r="O29" s="66">
        <f>948.084+1490</f>
        <v>2438.084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" customHeight="1">
      <c r="A30" s="76"/>
      <c r="B30" s="188" t="s">
        <v>266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" customHeight="1">
      <c r="A31" s="88" t="s">
        <v>447</v>
      </c>
      <c r="B31" s="59" t="s">
        <v>56</v>
      </c>
      <c r="C31" s="66">
        <v>573</v>
      </c>
      <c r="D31" s="66">
        <v>0</v>
      </c>
      <c r="E31" s="66">
        <v>0</v>
      </c>
      <c r="F31" s="66">
        <v>1368</v>
      </c>
      <c r="G31" s="66">
        <v>8707</v>
      </c>
      <c r="H31" s="66">
        <v>7206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1000</v>
      </c>
      <c r="O31" s="66">
        <f>960+1430</f>
        <v>2390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" customHeight="1">
      <c r="A32" s="88"/>
      <c r="B32" s="158" t="s">
        <v>265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" customHeight="1">
      <c r="A33" s="138" t="s">
        <v>448</v>
      </c>
      <c r="B33" s="89" t="s">
        <v>4</v>
      </c>
      <c r="C33" s="66">
        <v>633</v>
      </c>
      <c r="D33" s="66">
        <v>0</v>
      </c>
      <c r="E33" s="66">
        <v>0</v>
      </c>
      <c r="F33" s="66">
        <v>1399</v>
      </c>
      <c r="G33" s="66">
        <f>9803.24+4080</f>
        <v>13883.24</v>
      </c>
      <c r="H33" s="66">
        <v>7241.685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134.845</v>
      </c>
      <c r="O33" s="66">
        <f>960+1430</f>
        <v>2390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>
      <c r="A34" s="76"/>
      <c r="B34" s="188" t="s">
        <v>266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" customHeight="1">
      <c r="A35" s="88" t="s">
        <v>474</v>
      </c>
      <c r="B35" s="59" t="s">
        <v>27</v>
      </c>
      <c r="C35" s="66">
        <v>573</v>
      </c>
      <c r="D35" s="66">
        <v>0</v>
      </c>
      <c r="E35" s="66">
        <v>0</v>
      </c>
      <c r="F35" s="66">
        <v>1310</v>
      </c>
      <c r="G35" s="66">
        <f>10419+700</f>
        <v>11119</v>
      </c>
      <c r="H35" s="66">
        <v>6561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1000</v>
      </c>
      <c r="O35" s="66">
        <f>1060+1620</f>
        <v>2680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" customHeight="1">
      <c r="A36" s="88"/>
      <c r="B36" s="158" t="s">
        <v>265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" customHeight="1">
      <c r="A37" s="138" t="s">
        <v>475</v>
      </c>
      <c r="B37" s="89" t="s">
        <v>4</v>
      </c>
      <c r="C37" s="66">
        <v>633</v>
      </c>
      <c r="D37" s="66">
        <v>0</v>
      </c>
      <c r="E37" s="66">
        <v>0</v>
      </c>
      <c r="F37" s="66">
        <v>2268</v>
      </c>
      <c r="G37" s="66">
        <f>12146+5282</f>
        <v>17428</v>
      </c>
      <c r="H37" s="66">
        <v>6932.811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73.874</v>
      </c>
      <c r="O37" s="66">
        <f>1060+1620</f>
        <v>2680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76"/>
      <c r="B38" s="188" t="s">
        <v>200</v>
      </c>
      <c r="C38" s="66"/>
      <c r="D38" s="66"/>
      <c r="E38" s="66"/>
      <c r="F38" s="265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88" t="s">
        <v>482</v>
      </c>
      <c r="B39" s="59" t="s">
        <v>27</v>
      </c>
      <c r="C39" s="66">
        <v>755</v>
      </c>
      <c r="D39" s="66">
        <v>0</v>
      </c>
      <c r="E39" s="66">
        <v>0</v>
      </c>
      <c r="F39" s="66">
        <v>1450</v>
      </c>
      <c r="G39" s="66">
        <f>12296</f>
        <v>12296</v>
      </c>
      <c r="H39" s="66">
        <v>7328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1000</v>
      </c>
      <c r="O39" s="66">
        <f>1060+2200</f>
        <v>3260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" customHeight="1">
      <c r="A40" s="88"/>
      <c r="B40" s="158" t="s">
        <v>265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5" customHeight="1">
      <c r="A41" s="138" t="s">
        <v>484</v>
      </c>
      <c r="B41" s="89" t="s">
        <v>4</v>
      </c>
      <c r="C41" s="66">
        <f>815+1340</f>
        <v>2155</v>
      </c>
      <c r="D41" s="66">
        <v>0</v>
      </c>
      <c r="E41" s="66">
        <v>0</v>
      </c>
      <c r="F41" s="66">
        <v>2736</v>
      </c>
      <c r="G41" s="66">
        <f>13038.5</f>
        <v>13038.5</v>
      </c>
      <c r="H41" s="66">
        <v>7328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137.512</v>
      </c>
      <c r="O41" s="66">
        <f>1060+2200</f>
        <v>3260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76"/>
      <c r="B42" s="188" t="s">
        <v>200</v>
      </c>
      <c r="C42" s="66"/>
      <c r="D42" s="66"/>
      <c r="E42" s="66"/>
      <c r="F42" s="265"/>
      <c r="G42" s="66"/>
      <c r="H42" s="66"/>
      <c r="I42" s="66"/>
      <c r="J42" s="66"/>
      <c r="K42" s="66"/>
      <c r="L42" s="66"/>
      <c r="M42" s="66"/>
      <c r="N42" s="66"/>
      <c r="O42" s="6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16" s="227" customFormat="1" ht="15" customHeight="1">
      <c r="A43" s="229" t="s">
        <v>486</v>
      </c>
      <c r="B43" s="230" t="s">
        <v>27</v>
      </c>
      <c r="C43" s="67">
        <v>2830</v>
      </c>
      <c r="D43" s="67">
        <v>0</v>
      </c>
      <c r="E43" s="67">
        <v>0</v>
      </c>
      <c r="F43" s="67">
        <v>1530</v>
      </c>
      <c r="G43" s="67">
        <f>13341+600</f>
        <v>13941</v>
      </c>
      <c r="H43" s="67">
        <v>7348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3000</v>
      </c>
      <c r="O43" s="67">
        <f>1060+2200</f>
        <v>3260</v>
      </c>
      <c r="P43" s="264"/>
    </row>
    <row r="44" spans="1:16" ht="15" customHeight="1">
      <c r="A44" s="88"/>
      <c r="B44" s="158" t="s">
        <v>265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73"/>
    </row>
    <row r="45" spans="1:16" ht="15" customHeight="1">
      <c r="A45" s="138" t="s">
        <v>489</v>
      </c>
      <c r="B45" s="89" t="s">
        <v>4</v>
      </c>
      <c r="C45" s="66">
        <v>2590</v>
      </c>
      <c r="D45" s="66">
        <v>0</v>
      </c>
      <c r="E45" s="66">
        <v>0</v>
      </c>
      <c r="F45" s="66">
        <v>1957</v>
      </c>
      <c r="G45" s="66">
        <f>14816+600</f>
        <v>15416</v>
      </c>
      <c r="H45" s="66">
        <v>7348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194</v>
      </c>
      <c r="O45" s="66">
        <f>960+2200</f>
        <v>3160</v>
      </c>
      <c r="P45" s="73"/>
    </row>
    <row r="46" spans="1:16" ht="15" customHeight="1">
      <c r="A46" s="76"/>
      <c r="B46" s="188" t="s">
        <v>200</v>
      </c>
      <c r="C46" s="66"/>
      <c r="D46" s="66"/>
      <c r="E46" s="66"/>
      <c r="F46" s="265"/>
      <c r="G46" s="66"/>
      <c r="H46" s="66"/>
      <c r="I46" s="66"/>
      <c r="J46" s="66"/>
      <c r="K46" s="66"/>
      <c r="L46" s="66"/>
      <c r="M46" s="66"/>
      <c r="N46" s="66"/>
      <c r="O46" s="66"/>
      <c r="P46" s="73"/>
    </row>
    <row r="47" spans="1:16" s="227" customFormat="1" ht="15" customHeight="1">
      <c r="A47" s="229" t="s">
        <v>497</v>
      </c>
      <c r="B47" s="230" t="s">
        <v>27</v>
      </c>
      <c r="C47" s="67">
        <v>2261</v>
      </c>
      <c r="D47" s="67">
        <v>0</v>
      </c>
      <c r="E47" s="67">
        <v>0</v>
      </c>
      <c r="F47" s="67">
        <v>1353</v>
      </c>
      <c r="G47" s="67">
        <f>13855+2600</f>
        <v>16455</v>
      </c>
      <c r="H47" s="67">
        <v>6490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3000</v>
      </c>
      <c r="O47" s="67">
        <f>1060+2100</f>
        <v>3160</v>
      </c>
      <c r="P47" s="264"/>
    </row>
    <row r="48" spans="1:16" ht="15" customHeight="1">
      <c r="A48" s="88"/>
      <c r="B48" s="158" t="s">
        <v>265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73"/>
    </row>
    <row r="49" spans="1:16" s="227" customFormat="1" ht="15" customHeight="1">
      <c r="A49" s="228" t="s">
        <v>498</v>
      </c>
      <c r="B49" s="236" t="s">
        <v>4</v>
      </c>
      <c r="C49" s="67">
        <v>2321</v>
      </c>
      <c r="D49" s="67">
        <v>0</v>
      </c>
      <c r="E49" s="67">
        <v>0</v>
      </c>
      <c r="F49" s="67">
        <v>1850</v>
      </c>
      <c r="G49" s="67">
        <f>14272+1567</f>
        <v>15839</v>
      </c>
      <c r="H49" s="67">
        <v>7191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13</v>
      </c>
      <c r="O49" s="67">
        <f>1060+2100</f>
        <v>3160</v>
      </c>
      <c r="P49" s="264"/>
    </row>
    <row r="50" spans="1:16" ht="15" customHeight="1">
      <c r="A50" s="76"/>
      <c r="B50" s="188" t="s">
        <v>200</v>
      </c>
      <c r="C50" s="66"/>
      <c r="D50" s="66"/>
      <c r="E50" s="66"/>
      <c r="F50" s="265"/>
      <c r="G50" s="66"/>
      <c r="H50" s="66"/>
      <c r="I50" s="66"/>
      <c r="J50" s="66"/>
      <c r="K50" s="66"/>
      <c r="L50" s="66"/>
      <c r="M50" s="66"/>
      <c r="N50" s="66"/>
      <c r="O50" s="66"/>
      <c r="P50" s="73"/>
    </row>
    <row r="51" spans="1:16" s="227" customFormat="1" ht="15" customHeight="1">
      <c r="A51" s="229" t="s">
        <v>501</v>
      </c>
      <c r="B51" s="230" t="s">
        <v>27</v>
      </c>
      <c r="C51" s="67">
        <v>1576</v>
      </c>
      <c r="D51" s="67">
        <v>0</v>
      </c>
      <c r="E51" s="67">
        <v>0</v>
      </c>
      <c r="F51" s="67">
        <v>2218</v>
      </c>
      <c r="G51" s="67">
        <f>13706+4650</f>
        <v>18356</v>
      </c>
      <c r="H51" s="67">
        <v>7765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2500</v>
      </c>
      <c r="O51" s="67">
        <f>1060+1750</f>
        <v>2810</v>
      </c>
      <c r="P51" s="264"/>
    </row>
    <row r="52" spans="1:16" s="227" customFormat="1" ht="15" customHeight="1">
      <c r="A52" s="229"/>
      <c r="B52" s="224" t="s">
        <v>265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264"/>
    </row>
    <row r="53" spans="1:16" s="227" customFormat="1" ht="15" customHeight="1">
      <c r="A53" s="289">
        <v>2010</v>
      </c>
      <c r="B53" s="236" t="s">
        <v>4</v>
      </c>
      <c r="C53" s="67">
        <v>1676</v>
      </c>
      <c r="D53" s="67">
        <v>0</v>
      </c>
      <c r="E53" s="67">
        <v>0</v>
      </c>
      <c r="F53" s="67">
        <v>2560</v>
      </c>
      <c r="G53" s="67">
        <f>14914+9343</f>
        <v>24257</v>
      </c>
      <c r="H53" s="67">
        <v>8219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791</v>
      </c>
      <c r="O53" s="67">
        <f>1060+1750</f>
        <v>2810</v>
      </c>
      <c r="P53" s="264"/>
    </row>
    <row r="54" spans="1:16" s="227" customFormat="1" ht="15" customHeight="1">
      <c r="A54" s="228"/>
      <c r="B54" s="236" t="s">
        <v>510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264"/>
    </row>
    <row r="55" spans="1:16" ht="15" customHeight="1">
      <c r="A55" s="229" t="s">
        <v>511</v>
      </c>
      <c r="B55" s="230" t="s">
        <v>27</v>
      </c>
      <c r="C55" s="67">
        <v>1541</v>
      </c>
      <c r="D55" s="67"/>
      <c r="E55" s="67">
        <v>0</v>
      </c>
      <c r="F55" s="67">
        <v>2182</v>
      </c>
      <c r="G55" s="67">
        <f>13204+409</f>
        <v>13613</v>
      </c>
      <c r="H55" s="67">
        <v>7487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2500</v>
      </c>
      <c r="O55" s="67">
        <f>960+1800</f>
        <v>2760</v>
      </c>
      <c r="P55" s="73"/>
    </row>
    <row r="56" spans="1:57" ht="15" customHeight="1">
      <c r="A56" s="229"/>
      <c r="B56" s="224" t="s">
        <v>265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ht="16.5">
      <c r="A57" s="289">
        <v>2011</v>
      </c>
      <c r="B57" s="236" t="s">
        <v>4</v>
      </c>
      <c r="C57" s="67">
        <v>1601</v>
      </c>
      <c r="D57" s="67">
        <v>0</v>
      </c>
      <c r="E57" s="67">
        <v>0</v>
      </c>
      <c r="F57" s="67">
        <v>2471</v>
      </c>
      <c r="G57" s="67">
        <f>13494+774</f>
        <v>14268</v>
      </c>
      <c r="H57" s="67">
        <v>7487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11</v>
      </c>
      <c r="O57" s="67">
        <f>960+1800</f>
        <v>2760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57" ht="16.5">
      <c r="A58" s="228"/>
      <c r="B58" s="236" t="s">
        <v>510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1:16" ht="15" customHeight="1">
      <c r="A59" s="229" t="s">
        <v>545</v>
      </c>
      <c r="B59" s="230" t="s">
        <v>548</v>
      </c>
      <c r="C59" s="67">
        <v>1659</v>
      </c>
      <c r="D59" s="67"/>
      <c r="E59" s="67">
        <v>0</v>
      </c>
      <c r="F59" s="67">
        <v>3230</v>
      </c>
      <c r="G59" s="67">
        <f>13991+2640</f>
        <v>16631</v>
      </c>
      <c r="H59" s="67">
        <v>7447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2000</v>
      </c>
      <c r="O59" s="67">
        <f>960+2200</f>
        <v>3160</v>
      </c>
      <c r="P59" s="73"/>
    </row>
    <row r="60" spans="1:57" ht="15" customHeight="1">
      <c r="A60" s="229"/>
      <c r="B60" s="224" t="s">
        <v>265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>
        <v>0</v>
      </c>
      <c r="O60" s="67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</row>
    <row r="61" spans="1:57" ht="16.5">
      <c r="A61" s="289" t="s">
        <v>414</v>
      </c>
      <c r="B61" s="236" t="s">
        <v>4</v>
      </c>
      <c r="C61" s="67">
        <f>1729+15000</f>
        <v>16729</v>
      </c>
      <c r="D61" s="67">
        <v>0</v>
      </c>
      <c r="E61" s="67">
        <v>0</v>
      </c>
      <c r="F61" s="67">
        <v>3230</v>
      </c>
      <c r="G61" s="67">
        <f>14232+3105</f>
        <v>17337</v>
      </c>
      <c r="H61" s="67">
        <v>7447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974</v>
      </c>
      <c r="O61" s="67">
        <f>960+2200</f>
        <v>3160</v>
      </c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</row>
    <row r="62" spans="1:57" ht="16.5">
      <c r="A62" s="228"/>
      <c r="B62" s="236" t="s">
        <v>200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</row>
    <row r="63" spans="1:15" ht="17.25" thickBot="1">
      <c r="A63" s="53"/>
      <c r="B63" s="221"/>
      <c r="C63" s="68"/>
      <c r="D63" s="68"/>
      <c r="E63" s="68"/>
      <c r="F63" s="277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16.5">
      <c r="A64" s="99" t="s">
        <v>438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10"/>
      <c r="O64" s="109"/>
    </row>
    <row r="65" spans="3:14" ht="16.5">
      <c r="C65" s="95"/>
      <c r="D65" s="95"/>
      <c r="E65" s="95"/>
      <c r="F65" s="95"/>
      <c r="G65" s="95"/>
      <c r="H65" s="109"/>
      <c r="I65" s="109"/>
      <c r="J65" s="110"/>
      <c r="K65" s="109"/>
      <c r="L65" s="109"/>
      <c r="M65" s="109"/>
      <c r="N65" s="109"/>
    </row>
    <row r="66" spans="3:14" ht="16.5">
      <c r="C66" s="95"/>
      <c r="D66" s="95"/>
      <c r="E66" s="95"/>
      <c r="F66" s="95"/>
      <c r="G66" s="95"/>
      <c r="H66" s="109"/>
      <c r="I66" s="109"/>
      <c r="J66" s="110"/>
      <c r="K66" s="109"/>
      <c r="L66" s="109"/>
      <c r="M66" s="109"/>
      <c r="N66" s="109"/>
    </row>
    <row r="67" spans="3:14" ht="16.5">
      <c r="C67" s="102"/>
      <c r="D67" s="102"/>
      <c r="E67" s="102"/>
      <c r="F67" s="102"/>
      <c r="G67" s="102"/>
      <c r="H67" s="101"/>
      <c r="I67" s="102"/>
      <c r="J67" s="102"/>
      <c r="K67" s="102"/>
      <c r="L67" s="102"/>
      <c r="M67" s="102"/>
      <c r="N67" s="102"/>
    </row>
    <row r="68" spans="3:14" ht="16.5">
      <c r="C68" s="102"/>
      <c r="D68" s="102"/>
      <c r="E68" s="102"/>
      <c r="F68" s="102"/>
      <c r="H68" s="101"/>
      <c r="I68" s="102"/>
      <c r="J68" s="102"/>
      <c r="K68" s="102"/>
      <c r="L68" s="102"/>
      <c r="M68" s="102"/>
      <c r="N68" s="102"/>
    </row>
  </sheetData>
  <sheetProtection/>
  <mergeCells count="1">
    <mergeCell ref="N4:O4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金峰鄉公所 11</cp:lastModifiedBy>
  <cp:lastPrinted>2023-10-30T05:59:51Z</cp:lastPrinted>
  <dcterms:created xsi:type="dcterms:W3CDTF">2002-08-05T03:52:14Z</dcterms:created>
  <dcterms:modified xsi:type="dcterms:W3CDTF">2023-10-30T06:03:50Z</dcterms:modified>
  <cp:category/>
  <cp:version/>
  <cp:contentType/>
  <cp:contentStatus/>
</cp:coreProperties>
</file>