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748" windowHeight="6336" tabRatio="821" activeTab="10"/>
  </bookViews>
  <sheets>
    <sheet name="6-1" sheetId="1" r:id="rId1"/>
    <sheet name="6-1-支" sheetId="2" r:id="rId2"/>
    <sheet name="6-2鄉預入" sheetId="3" r:id="rId3"/>
    <sheet name="6-2-1鄉預入" sheetId="4" r:id="rId4"/>
    <sheet name="6-2鄉決入" sheetId="5" r:id="rId5"/>
    <sheet name="6-3鄉預出" sheetId="6" r:id="rId6"/>
    <sheet name="6-3-1鄉預出" sheetId="7" r:id="rId7"/>
    <sheet name="6-3鄉預出續" sheetId="8" r:id="rId8"/>
    <sheet name="6-3-1鄉預出續" sheetId="9" r:id="rId9"/>
    <sheet name="6-3鄉決出" sheetId="10" r:id="rId10"/>
    <sheet name="6-3鄉決出續" sheetId="11" r:id="rId11"/>
  </sheets>
  <definedNames>
    <definedName name="_xlnm.Print_Area" localSheetId="0">'6-1'!$A$1:$R$44</definedName>
    <definedName name="_xlnm.Print_Area" localSheetId="1">'6-1-支'!$A$1:$AL$43</definedName>
    <definedName name="_xlnm.Print_Area" localSheetId="3">'6-2-1鄉預入'!$A$1:$O$57</definedName>
    <definedName name="_xlnm.Print_Area" localSheetId="4">'6-2鄉決入'!$A$1:$O$31</definedName>
    <definedName name="_xlnm.Print_Area" localSheetId="2">'6-2鄉預入'!$A$1:$O$65</definedName>
    <definedName name="_xlnm.Print_Area" localSheetId="8">'6-3-1鄉預出續'!$A$1:$O$52</definedName>
    <definedName name="_xlnm.Print_Area" localSheetId="9">'6-3鄉決出'!$A$1:$P$31</definedName>
    <definedName name="_xlnm.Print_Area" localSheetId="10">'6-3鄉決出續'!$A$1:$O$31</definedName>
    <definedName name="_xlnm.Print_Area" localSheetId="5">'6-3鄉預出'!$A$1:$P$53</definedName>
    <definedName name="_xlnm.Print_Area" localSheetId="7">'6-3鄉預出續'!$A$1:$O$53</definedName>
  </definedNames>
  <calcPr fullCalcOnLoad="1"/>
</workbook>
</file>

<file path=xl/sharedStrings.xml><?xml version="1.0" encoding="utf-8"?>
<sst xmlns="http://schemas.openxmlformats.org/spreadsheetml/2006/main" count="1258" uniqueCount="524">
  <si>
    <t>單位：新臺幣千元</t>
  </si>
  <si>
    <t>年  度  別</t>
  </si>
  <si>
    <t>稅課收入</t>
  </si>
  <si>
    <t>規費收入</t>
  </si>
  <si>
    <t>追加減後預算</t>
  </si>
  <si>
    <t>總    計</t>
  </si>
  <si>
    <t>科學支出</t>
  </si>
  <si>
    <t>協助支出</t>
  </si>
  <si>
    <t>第二預備金</t>
  </si>
  <si>
    <t>合計</t>
  </si>
  <si>
    <t xml:space="preserve"> </t>
  </si>
  <si>
    <t>說　　明：財產收入包含財產孳息收入與財產售價及收回收入。</t>
  </si>
  <si>
    <t xml:space="preserve">              支                              出</t>
  </si>
  <si>
    <t>總計</t>
  </si>
  <si>
    <t>七　月</t>
  </si>
  <si>
    <t>八　月</t>
  </si>
  <si>
    <t>九　月</t>
  </si>
  <si>
    <t>十　月</t>
  </si>
  <si>
    <t>十一月</t>
  </si>
  <si>
    <t>一　月</t>
  </si>
  <si>
    <t>二　月</t>
  </si>
  <si>
    <t>三　月</t>
  </si>
  <si>
    <t>四　月</t>
  </si>
  <si>
    <t>五　月</t>
  </si>
  <si>
    <t>六　月</t>
  </si>
  <si>
    <t>本　　　　　　　　　　　　　　　　年　　　　　　　</t>
  </si>
  <si>
    <t>追加減後預算</t>
  </si>
  <si>
    <t>原  預  算</t>
  </si>
  <si>
    <t>社會救助支出</t>
  </si>
  <si>
    <t>社會保險支出</t>
  </si>
  <si>
    <t>賒借收入</t>
  </si>
  <si>
    <t>移用以前年度歲計賸餘</t>
  </si>
  <si>
    <t>其他收入</t>
  </si>
  <si>
    <t>　    　　　　度　　　　　　　　　　　收　　　　　　　　　　　入</t>
  </si>
  <si>
    <t>財產  收入</t>
  </si>
  <si>
    <t>公庫結存</t>
  </si>
  <si>
    <t>退休撫恤支出</t>
  </si>
  <si>
    <t>以前年度支出</t>
  </si>
  <si>
    <t>預算外支出</t>
  </si>
  <si>
    <t>行政支出</t>
  </si>
  <si>
    <t>民政支出</t>
  </si>
  <si>
    <t>財務支出</t>
  </si>
  <si>
    <t>教育支出</t>
  </si>
  <si>
    <t>文化支出</t>
  </si>
  <si>
    <t>農業支出</t>
  </si>
  <si>
    <t>工業支出</t>
  </si>
  <si>
    <t>交通支出</t>
  </si>
  <si>
    <t>其他經濟服務支出</t>
  </si>
  <si>
    <t>福利服務支出</t>
  </si>
  <si>
    <t>醫療保健支出</t>
  </si>
  <si>
    <t>債務還本支出</t>
  </si>
  <si>
    <t xml:space="preserve">                </t>
  </si>
  <si>
    <t>十二月</t>
  </si>
  <si>
    <r>
      <t>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預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算</t>
    </r>
  </si>
  <si>
    <t>追加減後預算</t>
  </si>
  <si>
    <t>營業盈餘及事業收入</t>
  </si>
  <si>
    <t>單位：新台幣千元</t>
  </si>
  <si>
    <t>原  預  算</t>
  </si>
  <si>
    <t>其他經濟        服務支出</t>
  </si>
  <si>
    <t>福利服務            支出</t>
  </si>
  <si>
    <t>國民就業            支出</t>
  </si>
  <si>
    <t>醫療保健        支出</t>
  </si>
  <si>
    <t>社區發展       支出</t>
  </si>
  <si>
    <t>環境保護       支出</t>
  </si>
  <si>
    <t>退休撫卹        給付支出</t>
  </si>
  <si>
    <t>警政支出</t>
  </si>
  <si>
    <t>平衡預算補助支出</t>
  </si>
  <si>
    <t>其他支出</t>
  </si>
  <si>
    <t>財產孳息收入</t>
  </si>
  <si>
    <t>財產售價及收回收入</t>
  </si>
  <si>
    <t>補助及協助收入</t>
  </si>
  <si>
    <t>捐贈及贈與收入</t>
  </si>
  <si>
    <t>以前年度收入</t>
  </si>
  <si>
    <t>預算外收入</t>
  </si>
  <si>
    <t>年度別及月別</t>
  </si>
  <si>
    <t>總計</t>
  </si>
  <si>
    <t>Fiscal Year &amp; Month</t>
  </si>
  <si>
    <t>Grand Total</t>
  </si>
  <si>
    <t>Total</t>
  </si>
  <si>
    <t>Redeipts from Taxes</t>
  </si>
  <si>
    <t>Receipts from Charges on Benefits of Public Construction</t>
  </si>
  <si>
    <t>Receipts Fines and Indemnity</t>
  </si>
  <si>
    <t>Receipts from Fees</t>
  </si>
  <si>
    <t>Receipts from Trust Manage-ment</t>
  </si>
  <si>
    <t>罰款及賠償收入</t>
  </si>
  <si>
    <t>工程受益費收入</t>
  </si>
  <si>
    <t>信託管理收入</t>
  </si>
  <si>
    <t>Receipts jrom</t>
  </si>
  <si>
    <t>Interest from Property</t>
  </si>
  <si>
    <t>Receipts from Property</t>
  </si>
  <si>
    <t>Profits of Public Business &amp; Enterprises</t>
  </si>
  <si>
    <t>Assistance and Donatioon</t>
  </si>
  <si>
    <t>Receipts from Donations and Gifts</t>
  </si>
  <si>
    <t>Others</t>
  </si>
  <si>
    <t>Previous Year Revenues</t>
  </si>
  <si>
    <t>Extra-budget Revenues</t>
  </si>
  <si>
    <t>1996</t>
  </si>
  <si>
    <t>1997</t>
  </si>
  <si>
    <t>2001</t>
  </si>
  <si>
    <t>2002</t>
  </si>
  <si>
    <t>2003</t>
  </si>
  <si>
    <t>Jan.</t>
  </si>
  <si>
    <t>Feb.</t>
  </si>
  <si>
    <t>Mar.</t>
  </si>
  <si>
    <t>Apr.</t>
  </si>
  <si>
    <t>May.</t>
  </si>
  <si>
    <t>June.</t>
  </si>
  <si>
    <t>July.</t>
  </si>
  <si>
    <t>Aug.</t>
  </si>
  <si>
    <t>Sep.</t>
  </si>
  <si>
    <t>Oct.</t>
  </si>
  <si>
    <t>Nov.</t>
  </si>
  <si>
    <t>Dec.</t>
  </si>
  <si>
    <t>單位：新台幣千元</t>
  </si>
  <si>
    <t>Unit:NT$1000</t>
  </si>
  <si>
    <t>Unit:NT$1000</t>
  </si>
  <si>
    <t>６－1、鄉鎮市公庫收支</t>
  </si>
  <si>
    <t>1‧收入</t>
  </si>
  <si>
    <t>６－1、Revenues of Hsien Treasury</t>
  </si>
  <si>
    <t>1‧Revent</t>
  </si>
  <si>
    <t>2.支出</t>
  </si>
  <si>
    <t>Current              Year              Expenditures</t>
  </si>
  <si>
    <t xml:space="preserve">      本            年            度            支            出</t>
  </si>
  <si>
    <t>單位：新臺幣千元</t>
  </si>
  <si>
    <t>Unit:NT$1000</t>
  </si>
  <si>
    <r>
      <t>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般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務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</si>
  <si>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教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育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科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學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文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化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</si>
  <si>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</si>
  <si>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</si>
  <si>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經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發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</si>
  <si>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r>
      <t>社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會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福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利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</si>
  <si>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t>Fiscal Year &amp; Month</t>
  </si>
  <si>
    <t>General Administration</t>
  </si>
  <si>
    <t>Education Science &amp; Culture</t>
  </si>
  <si>
    <t>Economic Development</t>
  </si>
  <si>
    <t>Social Welfare</t>
  </si>
  <si>
    <t>Expenditure for Political Function</t>
  </si>
  <si>
    <t>Administ-rative Expend-iture</t>
  </si>
  <si>
    <t>Civil Affairs Expendi-ture</t>
  </si>
  <si>
    <t>Financial Expend-iture</t>
  </si>
  <si>
    <r>
      <t>行政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支出</t>
    </r>
  </si>
  <si>
    <r>
      <t>民政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支出</t>
    </r>
  </si>
  <si>
    <r>
      <t>財務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支出</t>
    </r>
  </si>
  <si>
    <r>
      <t>科學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</si>
  <si>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r>
      <t>文化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</si>
  <si>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t>Total</t>
  </si>
  <si>
    <t>Expenditure for Education</t>
  </si>
  <si>
    <t>Science Expen-diture</t>
  </si>
  <si>
    <t>Expend-iture for Culture</t>
  </si>
  <si>
    <t>Expendit-ure for Agricul-ture</t>
  </si>
  <si>
    <t>Expen-diture for Industry</t>
  </si>
  <si>
    <t>Expendit-ure for Commun-ication</t>
  </si>
  <si>
    <t>Other Economic Service</t>
  </si>
  <si>
    <t>Total</t>
  </si>
  <si>
    <t>Expendit-ure for Social Insurance</t>
  </si>
  <si>
    <t>Expendi-ture for Social Insurance</t>
  </si>
  <si>
    <t>Expend-iture for Beneficial Servicw</t>
  </si>
  <si>
    <t>Expenditure for Public Health</t>
  </si>
  <si>
    <t>Jan.</t>
  </si>
  <si>
    <t>Mar.</t>
  </si>
  <si>
    <t>May</t>
  </si>
  <si>
    <t>June</t>
  </si>
  <si>
    <t>July</t>
  </si>
  <si>
    <t>Dec.</t>
  </si>
  <si>
    <t>本              年              度              支              出</t>
  </si>
  <si>
    <t>合計</t>
  </si>
  <si>
    <t>第二預備金</t>
  </si>
  <si>
    <t>其他支出</t>
  </si>
  <si>
    <r>
      <t>其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他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出</t>
    </r>
  </si>
  <si>
    <t>協助支出</t>
  </si>
  <si>
    <t>社區發展及環境保護支出</t>
  </si>
  <si>
    <t>債務支出</t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</si>
  <si>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</si>
  <si>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t>環境保護支出</t>
  </si>
  <si>
    <t>社區發展支出</t>
  </si>
  <si>
    <t>債務付息支出</t>
  </si>
  <si>
    <t>Community &amp; Development Environmental Protection</t>
  </si>
  <si>
    <t>Obligation</t>
  </si>
  <si>
    <t>Expendi-ture for Commu-nity Develop-ment</t>
  </si>
  <si>
    <t>Expenditure for Environ-mental Protection</t>
  </si>
  <si>
    <t>Expenditure for Retirement and Pension</t>
  </si>
  <si>
    <t>Total</t>
  </si>
  <si>
    <t>Expenditure for Debt</t>
  </si>
  <si>
    <t>Expenditure for Interest</t>
  </si>
  <si>
    <t>Assistance</t>
  </si>
  <si>
    <t>total</t>
  </si>
  <si>
    <t>Others</t>
  </si>
  <si>
    <t>Previous Year Expenditures</t>
  </si>
  <si>
    <t>Extrabudget expenditure</t>
  </si>
  <si>
    <t>Treasury Remainder</t>
  </si>
  <si>
    <t>2.Expenditures</t>
  </si>
  <si>
    <r>
      <t>教育</t>
    </r>
    <r>
      <rPr>
        <sz val="9"/>
        <rFont val="Times New Roman"/>
        <family val="1"/>
      </rPr>
      <t xml:space="preserve">           </t>
    </r>
    <r>
      <rPr>
        <sz val="9"/>
        <rFont val="標楷體"/>
        <family val="4"/>
      </rPr>
      <t>支出</t>
    </r>
  </si>
  <si>
    <t>６－1、Revenues of Hsien Treasuy(cont.1)</t>
  </si>
  <si>
    <t>６－1、Revenues of Hsien Treasuy(cont.end)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</si>
  <si>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</si>
  <si>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t>總　　計</t>
  </si>
  <si>
    <t>稅課收入</t>
  </si>
  <si>
    <t>工程受益費收入</t>
  </si>
  <si>
    <t>罰款及賠償收入</t>
  </si>
  <si>
    <t>規費收入</t>
  </si>
  <si>
    <t>污染防制費收入</t>
  </si>
  <si>
    <t>財產收入</t>
  </si>
  <si>
    <r>
      <t>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　　　協助收入</t>
    </r>
  </si>
  <si>
    <r>
      <t>捐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獻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　　　贈與收入</t>
    </r>
  </si>
  <si>
    <t>單位：新臺幣千元</t>
  </si>
  <si>
    <t>Fiscal Year</t>
  </si>
  <si>
    <t>Grand Total</t>
  </si>
  <si>
    <t>Taxes</t>
  </si>
  <si>
    <t>Special Assessment</t>
  </si>
  <si>
    <t>Fines and Indemnity</t>
  </si>
  <si>
    <t>Receipts from Fees</t>
  </si>
  <si>
    <t>Public Property</t>
  </si>
  <si>
    <t>Surplus Public Enterprises</t>
  </si>
  <si>
    <t>Assistance and Donation</t>
  </si>
  <si>
    <t>Contribution and Donation</t>
  </si>
  <si>
    <t>1.預算</t>
  </si>
  <si>
    <t>1.Budget</t>
  </si>
  <si>
    <r>
      <t>補</t>
    </r>
    <r>
      <rPr>
        <sz val="9"/>
        <rFont val="標楷體"/>
        <family val="4"/>
      </rPr>
      <t>助</t>
    </r>
    <r>
      <rPr>
        <sz val="9"/>
        <rFont val="標楷體"/>
        <family val="4"/>
      </rPr>
      <t>及協助收入</t>
    </r>
  </si>
  <si>
    <t>Original</t>
  </si>
  <si>
    <t>Final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</si>
  <si>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</si>
  <si>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t>稅課收入</t>
  </si>
  <si>
    <t>財產收入</t>
  </si>
  <si>
    <t>Fiscal Year</t>
  </si>
  <si>
    <t>Public Property</t>
  </si>
  <si>
    <t>Contribution and Donatiion</t>
  </si>
  <si>
    <r>
      <t>以前年度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結餘</t>
    </r>
  </si>
  <si>
    <t>單位：新臺幣千元</t>
  </si>
  <si>
    <t>Unit:N.T.$1000</t>
  </si>
  <si>
    <t>2.Settled</t>
  </si>
  <si>
    <t>2.決算</t>
  </si>
  <si>
    <t>單位：新臺幣千元</t>
  </si>
  <si>
    <r>
      <t>總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計</t>
    </r>
  </si>
  <si>
    <t>行政支出</t>
  </si>
  <si>
    <t>民政支出</t>
  </si>
  <si>
    <t>工業支出</t>
  </si>
  <si>
    <t>交通支出</t>
  </si>
  <si>
    <r>
      <t>社會救助</t>
    </r>
    <r>
      <rPr>
        <sz val="9"/>
        <rFont val="標楷體"/>
        <family val="4"/>
      </rPr>
      <t>支出</t>
    </r>
  </si>
  <si>
    <r>
      <t>社會保險</t>
    </r>
    <r>
      <rPr>
        <sz val="9"/>
        <rFont val="標楷體"/>
        <family val="4"/>
      </rPr>
      <t>支出</t>
    </r>
  </si>
  <si>
    <r>
      <t>其他經濟</t>
    </r>
    <r>
      <rPr>
        <sz val="9"/>
        <rFont val="標楷體"/>
        <family val="4"/>
      </rPr>
      <t>服務支出</t>
    </r>
  </si>
  <si>
    <t>財務支出</t>
  </si>
  <si>
    <t>教育支出</t>
  </si>
  <si>
    <t>科學支出</t>
  </si>
  <si>
    <t>文化支出</t>
  </si>
  <si>
    <t>1.預算</t>
  </si>
  <si>
    <r>
      <t>政權行使</t>
    </r>
    <r>
      <rPr>
        <sz val="9"/>
        <rFont val="標楷體"/>
        <family val="4"/>
      </rPr>
      <t>支出</t>
    </r>
  </si>
  <si>
    <t>1.Budget</t>
  </si>
  <si>
    <t>Administrative Expenditure</t>
  </si>
  <si>
    <t>Civil Affairs Expenditure</t>
  </si>
  <si>
    <t>Financial Expenditure</t>
  </si>
  <si>
    <t>Expenditure Education</t>
  </si>
  <si>
    <t>Expenditure for science</t>
  </si>
  <si>
    <t>Expenditure for Culture</t>
  </si>
  <si>
    <t>Expenditure for Agriculture</t>
  </si>
  <si>
    <t>Expenditure for Industry</t>
  </si>
  <si>
    <t>Expenditure for Commnicatian</t>
  </si>
  <si>
    <t>Expenditure for Social Insurance</t>
  </si>
  <si>
    <t>Expenditure for Social Relief</t>
  </si>
  <si>
    <t>Original</t>
  </si>
  <si>
    <t>Final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</si>
  <si>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</si>
  <si>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r>
      <t>福利服務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支出</t>
    </r>
  </si>
  <si>
    <r>
      <t>醫療保健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支出</t>
    </r>
  </si>
  <si>
    <r>
      <t>社區發展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支出</t>
    </r>
  </si>
  <si>
    <r>
      <t>環境保護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支出</t>
    </r>
  </si>
  <si>
    <t>退休撫卹給付支出</t>
  </si>
  <si>
    <t>警政支出</t>
  </si>
  <si>
    <t>平衡預算補助支出</t>
  </si>
  <si>
    <t>第二預備金</t>
  </si>
  <si>
    <t>其他支出</t>
  </si>
  <si>
    <t>Expenditure for Beneficial Service</t>
  </si>
  <si>
    <t>1.預算</t>
  </si>
  <si>
    <t>Expenditure for Employment Service</t>
  </si>
  <si>
    <t>Community Development</t>
  </si>
  <si>
    <t>Expenditure for Environmental Protection</t>
  </si>
  <si>
    <t>Expenditure on Retirement and Pension</t>
  </si>
  <si>
    <t>Expenditure for Police Service</t>
  </si>
  <si>
    <t>Expenditure for Interest Payment</t>
  </si>
  <si>
    <t>Expenditure for Assistance</t>
  </si>
  <si>
    <t>Expenditure for transfers of Special Characters</t>
  </si>
  <si>
    <t>Expenditure for Transfors of General characters</t>
  </si>
  <si>
    <t>Second Reserve Fund</t>
  </si>
  <si>
    <r>
      <t>專案補助</t>
    </r>
    <r>
      <rPr>
        <sz val="9"/>
        <rFont val="標楷體"/>
        <family val="4"/>
      </rPr>
      <t>支出</t>
    </r>
  </si>
  <si>
    <t>Other Expenditure</t>
  </si>
  <si>
    <t xml:space="preserve">Original </t>
  </si>
  <si>
    <t>Final</t>
  </si>
  <si>
    <t>2.Settled</t>
  </si>
  <si>
    <t>2.Settled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</si>
  <si>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N.T.$1000</t>
    </r>
  </si>
  <si>
    <t>Fiscal Tear</t>
  </si>
  <si>
    <t>Expenditure for Political Function</t>
  </si>
  <si>
    <t>Civil Affairs Expenditure</t>
  </si>
  <si>
    <t>Financial Expenditure</t>
  </si>
  <si>
    <t>Expenditure for Communication</t>
  </si>
  <si>
    <t>Other Economic Service</t>
  </si>
  <si>
    <t>Expenditure for Social Insurance</t>
  </si>
  <si>
    <t>Expenditure for Social Relief</t>
  </si>
  <si>
    <t xml:space="preserve">      「債務還本支出」欄位。</t>
  </si>
  <si>
    <t>備註：增列「退休撫卹給付支出」，「債務利息支出」修正為「債務付息支出」， 刪除</t>
  </si>
  <si>
    <t>債務付息支出</t>
  </si>
  <si>
    <t>專案補助支出</t>
  </si>
  <si>
    <t>Expenditure for Transfers of Special Characters</t>
  </si>
  <si>
    <t xml:space="preserve">Second Reserve Fund </t>
  </si>
  <si>
    <t>Other Expenditure</t>
  </si>
  <si>
    <r>
      <t>90</t>
    </r>
    <r>
      <rPr>
        <sz val="9"/>
        <rFont val="標楷體"/>
        <family val="4"/>
      </rPr>
      <t>年度</t>
    </r>
  </si>
  <si>
    <r>
      <t>91</t>
    </r>
    <r>
      <rPr>
        <sz val="9"/>
        <rFont val="標楷體"/>
        <family val="4"/>
      </rPr>
      <t>年度</t>
    </r>
  </si>
  <si>
    <r>
      <t>92</t>
    </r>
    <r>
      <rPr>
        <sz val="9"/>
        <rFont val="標楷體"/>
        <family val="4"/>
      </rPr>
      <t>年度</t>
    </r>
  </si>
  <si>
    <t>93年度</t>
  </si>
  <si>
    <t>2004</t>
  </si>
  <si>
    <t>2005</t>
  </si>
  <si>
    <t>90年度</t>
  </si>
  <si>
    <t>91年度</t>
  </si>
  <si>
    <t>92年度</t>
  </si>
  <si>
    <t>94年度</t>
  </si>
  <si>
    <t>90年度</t>
  </si>
  <si>
    <t>2001</t>
  </si>
  <si>
    <t>91年度</t>
  </si>
  <si>
    <t>2002</t>
  </si>
  <si>
    <t>92年度</t>
  </si>
  <si>
    <t>2003</t>
  </si>
  <si>
    <t xml:space="preserve"> 87年度</t>
  </si>
  <si>
    <t xml:space="preserve"> 88年度</t>
  </si>
  <si>
    <t xml:space="preserve"> 90年度</t>
  </si>
  <si>
    <t>85年度</t>
  </si>
  <si>
    <t>86年度</t>
  </si>
  <si>
    <t>1998</t>
  </si>
  <si>
    <t>1999</t>
  </si>
  <si>
    <t>88年下半年</t>
  </si>
  <si>
    <t>及89年度</t>
  </si>
  <si>
    <t>2000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</si>
  <si>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</si>
  <si>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</si>
  <si>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</si>
  <si>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</si>
  <si>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</si>
  <si>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</si>
  <si>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</si>
  <si>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</si>
  <si>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t xml:space="preserve">  88年下半年及89年度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</si>
  <si>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</si>
  <si>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</si>
  <si>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</si>
  <si>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</si>
  <si>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</si>
  <si>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</si>
  <si>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</si>
  <si>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</si>
  <si>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</si>
  <si>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88年度</t>
  </si>
  <si>
    <t>1999</t>
  </si>
  <si>
    <t>88年下半年</t>
  </si>
  <si>
    <t>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</si>
  <si>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</si>
  <si>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</si>
  <si>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</si>
  <si>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</si>
  <si>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</si>
  <si>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</si>
  <si>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</si>
  <si>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</si>
  <si>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</si>
  <si>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</si>
  <si>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r>
      <t>國民就業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支出</t>
    </r>
  </si>
  <si>
    <t>88年度</t>
  </si>
  <si>
    <t>90年度</t>
  </si>
  <si>
    <t>2005</t>
  </si>
  <si>
    <t>1999</t>
  </si>
  <si>
    <t xml:space="preserve">  88年下半年及89年度</t>
  </si>
  <si>
    <t>2000</t>
  </si>
  <si>
    <t>90年度</t>
  </si>
  <si>
    <t>2001</t>
  </si>
  <si>
    <t>91年度</t>
  </si>
  <si>
    <t>2002</t>
  </si>
  <si>
    <t>92年度</t>
  </si>
  <si>
    <t>2003</t>
  </si>
  <si>
    <t>93年度</t>
  </si>
  <si>
    <t>2004</t>
  </si>
  <si>
    <t>88年度</t>
  </si>
  <si>
    <t>1999</t>
  </si>
  <si>
    <t xml:space="preserve">  88年下半年及89年度</t>
  </si>
  <si>
    <t>2000</t>
  </si>
  <si>
    <t>90 年度</t>
  </si>
  <si>
    <t>2001</t>
  </si>
  <si>
    <t>91年度</t>
  </si>
  <si>
    <t>2002</t>
  </si>
  <si>
    <t>92年度</t>
  </si>
  <si>
    <t>2003</t>
  </si>
  <si>
    <t>93年度</t>
  </si>
  <si>
    <t>2004</t>
  </si>
  <si>
    <t>94年度</t>
  </si>
  <si>
    <r>
      <t>營業盈餘及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事業收入</t>
    </r>
  </si>
  <si>
    <r>
      <t>捐</t>
    </r>
    <r>
      <rPr>
        <sz val="9"/>
        <rFont val="標楷體"/>
        <family val="4"/>
      </rPr>
      <t>獻</t>
    </r>
    <r>
      <rPr>
        <sz val="9"/>
        <rFont val="標楷體"/>
        <family val="4"/>
      </rPr>
      <t>及贈與收入</t>
    </r>
  </si>
  <si>
    <t>2005</t>
  </si>
  <si>
    <t>2006</t>
  </si>
  <si>
    <t>2006</t>
  </si>
  <si>
    <t>95年度</t>
  </si>
  <si>
    <r>
      <t>農業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>支出</t>
    </r>
  </si>
  <si>
    <r>
      <t>工業</t>
    </r>
    <r>
      <rPr>
        <sz val="9"/>
        <rFont val="Times New Roman"/>
        <family val="1"/>
      </rPr>
      <t xml:space="preserve">             </t>
    </r>
    <r>
      <rPr>
        <sz val="9"/>
        <rFont val="標楷體"/>
        <family val="4"/>
      </rPr>
      <t>支出</t>
    </r>
  </si>
  <si>
    <r>
      <t>交通</t>
    </r>
    <r>
      <rPr>
        <sz val="9"/>
        <rFont val="Times New Roman"/>
        <family val="1"/>
      </rPr>
      <t xml:space="preserve">              </t>
    </r>
    <r>
      <rPr>
        <sz val="9"/>
        <rFont val="標楷體"/>
        <family val="4"/>
      </rPr>
      <t>支出</t>
    </r>
  </si>
  <si>
    <t>2006</t>
  </si>
  <si>
    <t>2007</t>
  </si>
  <si>
    <t>96年度</t>
  </si>
  <si>
    <t>97年度</t>
  </si>
  <si>
    <t>2008</t>
  </si>
  <si>
    <t>2008</t>
  </si>
  <si>
    <t>98年度</t>
  </si>
  <si>
    <t>2009</t>
  </si>
  <si>
    <t>98年度</t>
  </si>
  <si>
    <t>2009</t>
  </si>
  <si>
    <t>112  金融、財稅</t>
  </si>
  <si>
    <t>2009</t>
  </si>
  <si>
    <t>98年度</t>
  </si>
  <si>
    <t>99年度</t>
  </si>
  <si>
    <t>2010</t>
  </si>
  <si>
    <t>99年度</t>
  </si>
  <si>
    <t>2010</t>
  </si>
  <si>
    <t>100年度</t>
  </si>
  <si>
    <t>2011</t>
  </si>
  <si>
    <t>99年度</t>
  </si>
  <si>
    <t>一　月</t>
  </si>
  <si>
    <t>二　月</t>
  </si>
  <si>
    <t>100年度</t>
  </si>
  <si>
    <t>2011</t>
  </si>
  <si>
    <t>87年度</t>
  </si>
  <si>
    <t>６－３、鄉鎮市歲出預決算－按政事別分</t>
  </si>
  <si>
    <t>６－３、Budget and Settled Account of Expenditures of Township Offices</t>
  </si>
  <si>
    <t>６－３、鄉鎮市歲出預決算－按政事別分(續二)</t>
  </si>
  <si>
    <t>６－３、Budget and Settled Accunt of Expenditures of Township Offices(Cont.2)</t>
  </si>
  <si>
    <t>６－３、鄉鎮市歲出預決算－按政事別分(續三)</t>
  </si>
  <si>
    <t>６－３、Budget and Settled Accunt of Expenditures of Township Offices(Cont.3)</t>
  </si>
  <si>
    <t>６－３、鄉鎮市歲出預決算 －按政事別分(續四)</t>
  </si>
  <si>
    <r>
      <t>６－３、Budget and Settled Account of Expenditures of Township Offices(Cont.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)</t>
    </r>
  </si>
  <si>
    <t>101年度</t>
  </si>
  <si>
    <t>2012</t>
  </si>
  <si>
    <t>101年度</t>
  </si>
  <si>
    <t>2012</t>
  </si>
  <si>
    <t>101年度</t>
  </si>
  <si>
    <t>2012</t>
  </si>
  <si>
    <t>102年度</t>
  </si>
  <si>
    <t>2013</t>
  </si>
  <si>
    <t>2013</t>
  </si>
  <si>
    <t>102年度</t>
  </si>
  <si>
    <t>2013</t>
  </si>
  <si>
    <t>102  金融、財稅</t>
  </si>
  <si>
    <t>金融、財稅  103</t>
  </si>
  <si>
    <t>104  金融、財稅</t>
  </si>
  <si>
    <t>金融、財稅  105</t>
  </si>
  <si>
    <t>106  金融、財稅</t>
  </si>
  <si>
    <t>金融、財稅  107</t>
  </si>
  <si>
    <t>108  金融、財稅</t>
  </si>
  <si>
    <t>金融、財稅  111</t>
  </si>
  <si>
    <t>金融、財稅  115</t>
  </si>
  <si>
    <t>說　　明：財產收入包括財產孳息收入與財產售價及收回收入。</t>
  </si>
  <si>
    <t>資料來源：本所財經課。</t>
  </si>
  <si>
    <t>備註：「捐贈及贈與收入」修正為「捐獻及贈與收入」。</t>
  </si>
  <si>
    <t>資料來源：本所財經課</t>
  </si>
  <si>
    <t>資料來源：本所主計室。</t>
  </si>
  <si>
    <t>備    註：「捐贈及贈與收入」修正為「捐獻及贈與收入」。</t>
  </si>
  <si>
    <t>資料來源：本所主計室。</t>
  </si>
  <si>
    <t>資料來源：本所主計室。</t>
  </si>
  <si>
    <t>103年度</t>
  </si>
  <si>
    <t>2014</t>
  </si>
  <si>
    <t>102年度</t>
  </si>
  <si>
    <t>103年度</t>
  </si>
  <si>
    <t>2014</t>
  </si>
  <si>
    <t>116  金融、財稅</t>
  </si>
  <si>
    <t>104年度</t>
  </si>
  <si>
    <t>2015</t>
  </si>
  <si>
    <t>一　月</t>
  </si>
  <si>
    <t>九　月</t>
  </si>
  <si>
    <t>104年度</t>
  </si>
  <si>
    <t>2015</t>
  </si>
  <si>
    <t>６－３、鄉鎮市歲出預決算－按政事別分(續一)</t>
  </si>
  <si>
    <t xml:space="preserve"> 100  金融、財稅</t>
  </si>
  <si>
    <t>金融、財稅  101</t>
  </si>
  <si>
    <t>６－２、鄉鎮市歲入預決算－按來源別分</t>
  </si>
  <si>
    <t>６－２、 Budget and Settled Account of Revenues of Township Offices</t>
  </si>
  <si>
    <t>金融、財稅  109</t>
  </si>
  <si>
    <t>６－２、鄉鎮市歲入預決算－按來源別分(續一)</t>
  </si>
  <si>
    <t>６－２、 Budget and Settled Account of Revenues of Township Offices(Cont.1)</t>
  </si>
  <si>
    <t>６－２、鄉鎮市歲入預決算－按來源別分(續完)</t>
  </si>
  <si>
    <t>６－２、Budget and Settled Account of Revenues of Township Offices(Cont.End)</t>
  </si>
  <si>
    <t>110   金融、財稅</t>
  </si>
  <si>
    <t>金融、財稅  113</t>
  </si>
  <si>
    <t>114  金融、財稅</t>
  </si>
  <si>
    <t>６－３、Budget and Settled Account of Expenditures of Township Offices(Cont.1)</t>
  </si>
  <si>
    <t>金融、財稅  117</t>
  </si>
  <si>
    <t>118  金融、財稅</t>
  </si>
  <si>
    <t>金融、財稅  119</t>
  </si>
  <si>
    <t>120  金融、財稅</t>
  </si>
  <si>
    <t>121  金融、財稅</t>
  </si>
  <si>
    <t>金融、財稅  123</t>
  </si>
  <si>
    <t>６－１、鄉鎮市公庫收支(續完)</t>
  </si>
  <si>
    <t>表６－１、鄉鎮市公庫收支(續一)</t>
  </si>
  <si>
    <t>６－３、鄉鎮市歲出預決算－按政事別分(續完)</t>
  </si>
  <si>
    <t>６－３、Budget and Settled Account of Expenditures of Township Offices(Cont.End)</t>
  </si>
  <si>
    <t>122  金融、財稅</t>
  </si>
  <si>
    <t>105年度</t>
  </si>
  <si>
    <t>2016</t>
  </si>
  <si>
    <t>105年度</t>
  </si>
  <si>
    <t>2016</t>
  </si>
  <si>
    <t>105年度</t>
  </si>
  <si>
    <t>105年度</t>
  </si>
  <si>
    <t>106年度</t>
  </si>
  <si>
    <t>105年度</t>
  </si>
  <si>
    <t>106年度</t>
  </si>
  <si>
    <t>2017</t>
  </si>
  <si>
    <t>2017</t>
  </si>
  <si>
    <t>Administrative Expenditure</t>
  </si>
  <si>
    <t>107年度</t>
  </si>
  <si>
    <t>.</t>
  </si>
  <si>
    <t>.</t>
  </si>
  <si>
    <t>2018</t>
  </si>
  <si>
    <t>立法支出</t>
  </si>
  <si>
    <t>107年度</t>
  </si>
  <si>
    <t>2018</t>
  </si>
  <si>
    <t>立法支出</t>
  </si>
  <si>
    <t xml:space="preserve">  </t>
  </si>
  <si>
    <t>108年度</t>
  </si>
  <si>
    <t>2019</t>
  </si>
  <si>
    <t>108年度</t>
  </si>
  <si>
    <t>2019</t>
  </si>
  <si>
    <t>108年度</t>
  </si>
  <si>
    <r>
      <t>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預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算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</si>
</sst>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0"/>
    <numFmt numFmtId="178" formatCode="m&quot;月&quot;d&quot;日&quot;"/>
    <numFmt numFmtId="179" formatCode="#,##0;\-#,##0;&quot;-&quot;"/>
    <numFmt numFmtId="180" formatCode="0.00_ "/>
    <numFmt numFmtId="181" formatCode="#,##0_);[Red]\(#,##0\)"/>
    <numFmt numFmtId="182" formatCode="#,##0_ ;[Red]\-#,##0\ "/>
    <numFmt numFmtId="183" formatCode="#,##0.00_);\(#,##0.00\)"/>
    <numFmt numFmtId="184" formatCode="#,##0_ "/>
    <numFmt numFmtId="185" formatCode="#,##0_);\(#,##0\)"/>
    <numFmt numFmtId="186" formatCode="#,##0;[Red]#,##0"/>
    <numFmt numFmtId="187" formatCode="0_);\(0\)"/>
    <numFmt numFmtId="188" formatCode="_-* #,##0.0_-;\-* #,##0.0_-;_-* &quot;-&quot;??_-;_-@_-"/>
    <numFmt numFmtId="189" formatCode="_-* #,##0_-;\-* #,##0_-;_-* &quot;-&quot;??_-;_-@_-"/>
    <numFmt numFmtId="190" formatCode="0_ "/>
    <numFmt numFmtId="191" formatCode="0.0_ "/>
    <numFmt numFmtId="192" formatCode="#,##0.00_);[Red]\(#,##0.00\)"/>
    <numFmt numFmtId="193" formatCode="#,##0.0_);[Red]\(#,##0.0\)"/>
    <numFmt numFmtId="194" formatCode="0_);[Red]\(0\)"/>
    <numFmt numFmtId="195" formatCode="0;[Red]0"/>
    <numFmt numFmtId="196" formatCode="_-* #,##0.000_-;\-* #,##0.000_-;_-* &quot;-&quot;??_-;_-@_-"/>
    <numFmt numFmtId="197" formatCode="_-* #,##0.0000_-;\-* #,##0.0000_-;_-* &quot;-&quot;??_-;_-@_-"/>
    <numFmt numFmtId="198" formatCode="0.00_);[Red]\(0.00\)"/>
    <numFmt numFmtId="199" formatCode="0.0_);[Red]\(0.0\)"/>
    <numFmt numFmtId="200" formatCode="[$-404]AM/PM\ hh:mm:ss"/>
    <numFmt numFmtId="201" formatCode="&quot;$&quot;#,##0.00_);[Red]\(&quot;$&quot;#,##0.00\)"/>
    <numFmt numFmtId="202" formatCode="_-* #,##0.000_-;\-* #,##0.000_-;_-* &quot;-&quot;???_-;_-@_-"/>
  </numFmts>
  <fonts count="53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"/>
      <family val="1"/>
    </font>
    <font>
      <b/>
      <sz val="9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b/>
      <sz val="9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新細明體"/>
      <family val="1"/>
    </font>
    <font>
      <b/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8"/>
      <name val="Times New Roman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0" fontId="4" fillId="0" borderId="2">
      <alignment/>
      <protection/>
    </xf>
    <xf numFmtId="9" fontId="0" fillId="0" borderId="0" applyFont="0" applyFill="0" applyBorder="0" applyAlignment="0" applyProtection="0"/>
    <xf numFmtId="0" fontId="41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0" fillId="23" borderId="5" applyNumberFormat="0" applyFont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0" fontId="49" fillId="22" borderId="9" applyNumberFormat="0" applyAlignment="0" applyProtection="0"/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43" fontId="5" fillId="0" borderId="0" xfId="34" applyFont="1" applyBorder="1" applyAlignment="1">
      <alignment horizontal="center" vertical="center"/>
    </xf>
    <xf numFmtId="43" fontId="5" fillId="0" borderId="11" xfId="34" applyFont="1" applyBorder="1" applyAlignment="1">
      <alignment horizontal="center" vertical="center"/>
    </xf>
    <xf numFmtId="38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0" borderId="0" xfId="0" applyNumberFormat="1" applyFont="1" applyAlignment="1">
      <alignment horizontal="centerContinuous" vertical="center"/>
    </xf>
    <xf numFmtId="38" fontId="7" fillId="0" borderId="0" xfId="0" applyNumberFormat="1" applyFont="1" applyBorder="1" applyAlignment="1">
      <alignment horizontal="centerContinuous" vertical="center"/>
    </xf>
    <xf numFmtId="38" fontId="8" fillId="0" borderId="0" xfId="0" applyNumberFormat="1" applyFont="1" applyAlignment="1">
      <alignment vertical="center"/>
    </xf>
    <xf numFmtId="38" fontId="8" fillId="0" borderId="0" xfId="0" applyNumberFormat="1" applyFont="1" applyAlignment="1" quotePrefix="1">
      <alignment horizontal="right" vertical="center"/>
    </xf>
    <xf numFmtId="38" fontId="8" fillId="0" borderId="0" xfId="0" applyNumberFormat="1" applyFont="1" applyAlignment="1">
      <alignment horizontal="centerContinuous" vertical="center"/>
    </xf>
    <xf numFmtId="38" fontId="8" fillId="0" borderId="0" xfId="0" applyNumberFormat="1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38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12" xfId="0" applyNumberFormat="1" applyFont="1" applyBorder="1" applyAlignment="1" quotePrefix="1">
      <alignment horizontal="centerContinuous" vertical="center" wrapText="1"/>
    </xf>
    <xf numFmtId="38" fontId="6" fillId="0" borderId="12" xfId="0" applyNumberFormat="1" applyFont="1" applyBorder="1" applyAlignment="1">
      <alignment horizontal="centerContinuous" vertical="center" wrapText="1"/>
    </xf>
    <xf numFmtId="38" fontId="6" fillId="0" borderId="12" xfId="0" applyNumberFormat="1" applyFont="1" applyBorder="1" applyAlignment="1" quotePrefix="1">
      <alignment horizontal="right" vertical="center"/>
    </xf>
    <xf numFmtId="38" fontId="6" fillId="0" borderId="13" xfId="0" applyNumberFormat="1" applyFont="1" applyBorder="1" applyAlignment="1" quotePrefix="1">
      <alignment horizontal="left" vertical="center"/>
    </xf>
    <xf numFmtId="38" fontId="6" fillId="0" borderId="13" xfId="0" applyNumberFormat="1" applyFont="1" applyBorder="1" applyAlignment="1" quotePrefix="1">
      <alignment vertical="center" wrapText="1"/>
    </xf>
    <xf numFmtId="38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185" fontId="5" fillId="0" borderId="0" xfId="0" applyNumberFormat="1" applyFont="1" applyBorder="1" applyAlignment="1" quotePrefix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86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185" fontId="5" fillId="0" borderId="15" xfId="0" applyNumberFormat="1" applyFont="1" applyBorder="1" applyAlignment="1" quotePrefix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38" fontId="9" fillId="0" borderId="0" xfId="0" applyNumberFormat="1" applyFont="1" applyAlignment="1" quotePrefix="1">
      <alignment vertical="center"/>
    </xf>
    <xf numFmtId="38" fontId="8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 quotePrefix="1">
      <alignment horizontal="right" vertical="center"/>
    </xf>
    <xf numFmtId="41" fontId="7" fillId="0" borderId="0" xfId="0" applyNumberFormat="1" applyFont="1" applyBorder="1" applyAlignment="1">
      <alignment horizontal="centerContinuous" vertical="center"/>
    </xf>
    <xf numFmtId="41" fontId="8" fillId="0" borderId="0" xfId="0" applyNumberFormat="1" applyFont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 quotePrefix="1">
      <alignment horizontal="right" vertical="center"/>
    </xf>
    <xf numFmtId="41" fontId="8" fillId="0" borderId="0" xfId="0" applyNumberFormat="1" applyFont="1" applyBorder="1" applyAlignment="1" quotePrefix="1">
      <alignment horizontal="left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horizontal="centerContinuous" vertical="center"/>
    </xf>
    <xf numFmtId="41" fontId="6" fillId="0" borderId="0" xfId="0" applyNumberFormat="1" applyFont="1" applyBorder="1" applyAlignment="1">
      <alignment horizontal="centerContinuous" vertical="center"/>
    </xf>
    <xf numFmtId="41" fontId="6" fillId="0" borderId="12" xfId="0" applyNumberFormat="1" applyFont="1" applyFill="1" applyBorder="1" applyAlignment="1">
      <alignment horizontal="centerContinuous" vertical="center"/>
    </xf>
    <xf numFmtId="41" fontId="6" fillId="0" borderId="2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 wrapText="1"/>
    </xf>
    <xf numFmtId="41" fontId="6" fillId="0" borderId="0" xfId="0" applyNumberFormat="1" applyFont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8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41" fontId="9" fillId="0" borderId="0" xfId="0" applyNumberFormat="1" applyFont="1" applyBorder="1" applyAlignment="1" quotePrefix="1">
      <alignment vertical="center"/>
    </xf>
    <xf numFmtId="41" fontId="6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Border="1" applyAlignment="1">
      <alignment horizontal="center" vertical="center"/>
    </xf>
    <xf numFmtId="194" fontId="5" fillId="0" borderId="0" xfId="34" applyNumberFormat="1" applyFont="1" applyBorder="1" applyAlignment="1">
      <alignment horizontal="center" vertical="center"/>
    </xf>
    <xf numFmtId="41" fontId="6" fillId="0" borderId="0" xfId="0" applyNumberFormat="1" applyFont="1" applyAlignment="1" quotePrefix="1">
      <alignment/>
    </xf>
    <xf numFmtId="0" fontId="6" fillId="0" borderId="0" xfId="0" applyFont="1" applyBorder="1" applyAlignment="1">
      <alignment/>
    </xf>
    <xf numFmtId="38" fontId="6" fillId="0" borderId="0" xfId="0" applyNumberFormat="1" applyFont="1" applyAlignment="1" quotePrefix="1">
      <alignment horizontal="left" vertical="center"/>
    </xf>
    <xf numFmtId="41" fontId="7" fillId="0" borderId="0" xfId="0" applyNumberFormat="1" applyFont="1" applyAlignment="1">
      <alignment horizontal="centerContinuous" vertical="center"/>
    </xf>
    <xf numFmtId="41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/>
    </xf>
    <xf numFmtId="41" fontId="8" fillId="0" borderId="0" xfId="0" applyNumberFormat="1" applyFont="1" applyAlignment="1">
      <alignment horizontal="centerContinuous" vertical="center"/>
    </xf>
    <xf numFmtId="0" fontId="6" fillId="0" borderId="11" xfId="0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41" fontId="6" fillId="0" borderId="2" xfId="0" applyNumberFormat="1" applyFont="1" applyBorder="1" applyAlignment="1">
      <alignment horizontal="center" vertical="top" wrapText="1"/>
    </xf>
    <xf numFmtId="41" fontId="11" fillId="0" borderId="0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 vertical="top"/>
    </xf>
    <xf numFmtId="41" fontId="6" fillId="0" borderId="0" xfId="0" applyNumberFormat="1" applyFont="1" applyBorder="1" applyAlignment="1">
      <alignment horizontal="center" vertical="top"/>
    </xf>
    <xf numFmtId="41" fontId="6" fillId="0" borderId="11" xfId="0" applyNumberFormat="1" applyFont="1" applyBorder="1" applyAlignment="1">
      <alignment horizontal="center" vertical="top"/>
    </xf>
    <xf numFmtId="41" fontId="6" fillId="0" borderId="14" xfId="0" applyNumberFormat="1" applyFont="1" applyBorder="1" applyAlignment="1">
      <alignment horizontal="center" vertical="top" wrapText="1"/>
    </xf>
    <xf numFmtId="41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1" fontId="9" fillId="0" borderId="0" xfId="0" applyNumberFormat="1" applyFont="1" applyBorder="1" applyAlignment="1" quotePrefix="1">
      <alignment horizontal="left" vertical="center"/>
    </xf>
    <xf numFmtId="41" fontId="10" fillId="0" borderId="0" xfId="0" applyNumberFormat="1" applyFont="1" applyAlignment="1" quotePrefix="1">
      <alignment/>
    </xf>
    <xf numFmtId="41" fontId="8" fillId="0" borderId="0" xfId="0" applyNumberFormat="1" applyFont="1" applyAlignment="1" quotePrefix="1">
      <alignment horizontal="centerContinuous"/>
    </xf>
    <xf numFmtId="41" fontId="8" fillId="0" borderId="0" xfId="0" applyNumberFormat="1" applyFont="1" applyAlignment="1">
      <alignment horizontal="centerContinuous"/>
    </xf>
    <xf numFmtId="41" fontId="6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centerContinuous"/>
    </xf>
    <xf numFmtId="41" fontId="7" fillId="0" borderId="0" xfId="0" applyNumberFormat="1" applyFont="1" applyBorder="1" applyAlignment="1" quotePrefix="1">
      <alignment horizontal="centerContinuous"/>
    </xf>
    <xf numFmtId="41" fontId="7" fillId="0" borderId="0" xfId="0" applyNumberFormat="1" applyFont="1" applyAlignment="1">
      <alignment/>
    </xf>
    <xf numFmtId="41" fontId="8" fillId="0" borderId="0" xfId="0" applyNumberFormat="1" applyFont="1" applyBorder="1" applyAlignment="1">
      <alignment horizontal="centerContinuous"/>
    </xf>
    <xf numFmtId="41" fontId="10" fillId="0" borderId="0" xfId="0" applyNumberFormat="1" applyFont="1" applyBorder="1" applyAlignment="1">
      <alignment horizontal="centerContinuous"/>
    </xf>
    <xf numFmtId="185" fontId="5" fillId="0" borderId="0" xfId="0" applyNumberFormat="1" applyFont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3" fontId="5" fillId="0" borderId="0" xfId="34" applyFont="1" applyBorder="1" applyAlignment="1">
      <alignment horizontal="right" vertical="center"/>
    </xf>
    <xf numFmtId="41" fontId="8" fillId="0" borderId="0" xfId="0" applyNumberFormat="1" applyFont="1" applyBorder="1" applyAlignment="1" quotePrefix="1">
      <alignment horizontal="centerContinuous"/>
    </xf>
    <xf numFmtId="41" fontId="6" fillId="0" borderId="11" xfId="0" applyNumberFormat="1" applyFont="1" applyBorder="1" applyAlignment="1">
      <alignment/>
    </xf>
    <xf numFmtId="41" fontId="6" fillId="0" borderId="14" xfId="0" applyNumberFormat="1" applyFont="1" applyBorder="1" applyAlignment="1">
      <alignment horizontal="centerContinuous" vertical="center" wrapText="1"/>
    </xf>
    <xf numFmtId="41" fontId="5" fillId="0" borderId="11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horizontal="left" vertical="center"/>
    </xf>
    <xf numFmtId="41" fontId="6" fillId="0" borderId="17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85" fontId="5" fillId="0" borderId="11" xfId="0" applyNumberFormat="1" applyFont="1" applyBorder="1" applyAlignment="1" quotePrefix="1">
      <alignment horizontal="center" vertical="center"/>
    </xf>
    <xf numFmtId="38" fontId="2" fillId="0" borderId="14" xfId="0" applyNumberFormat="1" applyFont="1" applyBorder="1" applyAlignment="1">
      <alignment horizontal="center" vertical="center" wrapText="1"/>
    </xf>
    <xf numFmtId="38" fontId="6" fillId="0" borderId="19" xfId="0" applyNumberFormat="1" applyFont="1" applyBorder="1" applyAlignment="1">
      <alignment horizontal="centerContinuous" vertical="center" wrapText="1"/>
    </xf>
    <xf numFmtId="3" fontId="2" fillId="0" borderId="2" xfId="0" applyNumberFormat="1" applyFont="1" applyBorder="1" applyAlignment="1" quotePrefix="1">
      <alignment horizontal="center" vertical="center"/>
    </xf>
    <xf numFmtId="38" fontId="2" fillId="0" borderId="11" xfId="0" applyNumberFormat="1" applyFont="1" applyBorder="1" applyAlignment="1">
      <alignment horizontal="right" vertical="center"/>
    </xf>
    <xf numFmtId="38" fontId="7" fillId="0" borderId="0" xfId="0" applyNumberFormat="1" applyFont="1" applyAlignment="1" quotePrefix="1">
      <alignment horizontal="centerContinuous" vertical="center"/>
    </xf>
    <xf numFmtId="38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1" fontId="6" fillId="0" borderId="0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 quotePrefix="1">
      <alignment horizontal="center" vertical="center"/>
    </xf>
    <xf numFmtId="41" fontId="6" fillId="0" borderId="19" xfId="0" applyNumberFormat="1" applyFont="1" applyBorder="1" applyAlignment="1">
      <alignment horizontal="centerContinuous" vertical="center"/>
    </xf>
    <xf numFmtId="41" fontId="12" fillId="0" borderId="0" xfId="0" applyNumberFormat="1" applyFont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horizontal="left" vertical="center"/>
    </xf>
    <xf numFmtId="41" fontId="2" fillId="0" borderId="11" xfId="0" applyNumberFormat="1" applyFont="1" applyBorder="1" applyAlignment="1">
      <alignment horizontal="right" vertical="center"/>
    </xf>
    <xf numFmtId="41" fontId="7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Border="1" applyAlignment="1" quotePrefix="1">
      <alignment horizontal="centerContinuous" vertical="center"/>
    </xf>
    <xf numFmtId="41" fontId="6" fillId="0" borderId="0" xfId="0" applyNumberFormat="1" applyFont="1" applyAlignment="1">
      <alignment horizontal="centerContinuous" vertical="center"/>
    </xf>
    <xf numFmtId="41" fontId="6" fillId="0" borderId="20" xfId="0" applyNumberFormat="1" applyFont="1" applyBorder="1" applyAlignment="1">
      <alignment horizontal="centerContinuous" vertical="center"/>
    </xf>
    <xf numFmtId="41" fontId="6" fillId="0" borderId="21" xfId="0" applyNumberFormat="1" applyFont="1" applyBorder="1" applyAlignment="1">
      <alignment horizontal="centerContinuous" vertical="center"/>
    </xf>
    <xf numFmtId="41" fontId="6" fillId="0" borderId="22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Continuous" vertical="center" wrapText="1"/>
    </xf>
    <xf numFmtId="0" fontId="6" fillId="0" borderId="21" xfId="0" applyNumberFormat="1" applyFont="1" applyBorder="1" applyAlignment="1">
      <alignment horizontal="centerContinuous" vertical="center" wrapText="1"/>
    </xf>
    <xf numFmtId="0" fontId="6" fillId="0" borderId="23" xfId="0" applyNumberFormat="1" applyFont="1" applyBorder="1" applyAlignment="1">
      <alignment horizontal="centerContinuous" vertical="center" wrapText="1"/>
    </xf>
    <xf numFmtId="41" fontId="2" fillId="0" borderId="2" xfId="0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horizontal="center" vertical="center" wrapText="1"/>
    </xf>
    <xf numFmtId="41" fontId="6" fillId="0" borderId="19" xfId="0" applyNumberFormat="1" applyFont="1" applyFill="1" applyBorder="1" applyAlignment="1">
      <alignment horizontal="centerContinuous" vertical="center"/>
    </xf>
    <xf numFmtId="41" fontId="6" fillId="0" borderId="2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center" vertical="center" wrapText="1"/>
    </xf>
    <xf numFmtId="41" fontId="6" fillId="0" borderId="25" xfId="0" applyNumberFormat="1" applyFont="1" applyBorder="1" applyAlignment="1">
      <alignment horizontal="centerContinuous" vertical="center"/>
    </xf>
    <xf numFmtId="41" fontId="8" fillId="0" borderId="0" xfId="0" applyNumberFormat="1" applyFont="1" applyBorder="1" applyAlignment="1" quotePrefix="1">
      <alignment horizontal="centerContinuous" vertical="center"/>
    </xf>
    <xf numFmtId="41" fontId="13" fillId="0" borderId="0" xfId="0" applyNumberFormat="1" applyFont="1" applyAlignment="1" quotePrefix="1">
      <alignment horizontal="centerContinuous" vertical="center"/>
    </xf>
    <xf numFmtId="41" fontId="0" fillId="0" borderId="0" xfId="0" applyNumberFormat="1" applyFont="1" applyAlignment="1">
      <alignment horizontal="centerContinuous" vertical="center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26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 quotePrefix="1">
      <alignment horizontal="center" vertical="center" wrapText="1"/>
    </xf>
    <xf numFmtId="41" fontId="6" fillId="0" borderId="0" xfId="0" applyNumberFormat="1" applyFont="1" applyBorder="1" applyAlignment="1">
      <alignment horizontal="centerContinuous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41" fontId="6" fillId="0" borderId="27" xfId="0" applyNumberFormat="1" applyFont="1" applyBorder="1" applyAlignment="1">
      <alignment horizontal="centerContinuous"/>
    </xf>
    <xf numFmtId="41" fontId="6" fillId="0" borderId="24" xfId="0" applyNumberFormat="1" applyFont="1" applyBorder="1" applyAlignment="1">
      <alignment horizontal="centerContinuous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8" fillId="0" borderId="0" xfId="0" applyFont="1" applyAlignment="1">
      <alignment/>
    </xf>
    <xf numFmtId="41" fontId="13" fillId="0" borderId="0" xfId="0" applyNumberFormat="1" applyFont="1" applyAlignment="1">
      <alignment horizontal="centerContinuous" vertical="center"/>
    </xf>
    <xf numFmtId="41" fontId="11" fillId="0" borderId="0" xfId="0" applyNumberFormat="1" applyFont="1" applyBorder="1" applyAlignment="1">
      <alignment horizontal="center" shrinkToFit="1"/>
    </xf>
    <xf numFmtId="41" fontId="2" fillId="0" borderId="2" xfId="0" applyNumberFormat="1" applyFont="1" applyBorder="1" applyAlignment="1">
      <alignment horizontal="center" vertical="top" wrapText="1"/>
    </xf>
    <xf numFmtId="41" fontId="10" fillId="0" borderId="14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 wrapText="1"/>
    </xf>
    <xf numFmtId="41" fontId="3" fillId="0" borderId="18" xfId="0" applyNumberFormat="1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right" vertical="center"/>
    </xf>
    <xf numFmtId="41" fontId="14" fillId="0" borderId="0" xfId="0" applyNumberFormat="1" applyFont="1" applyAlignment="1">
      <alignment horizontal="centerContinuous" vertical="center"/>
    </xf>
    <xf numFmtId="41" fontId="14" fillId="0" borderId="0" xfId="0" applyNumberFormat="1" applyFont="1" applyBorder="1" applyAlignment="1">
      <alignment horizontal="centerContinuous"/>
    </xf>
    <xf numFmtId="41" fontId="10" fillId="0" borderId="22" xfId="0" applyNumberFormat="1" applyFont="1" applyBorder="1" applyAlignment="1">
      <alignment horizontal="centerContinuous"/>
    </xf>
    <xf numFmtId="41" fontId="2" fillId="0" borderId="18" xfId="0" applyNumberFormat="1" applyFont="1" applyBorder="1" applyAlignment="1">
      <alignment horizontal="centerContinuous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 quotePrefix="1">
      <alignment horizontal="center" vertical="center" wrapText="1"/>
    </xf>
    <xf numFmtId="41" fontId="6" fillId="0" borderId="24" xfId="0" applyNumberFormat="1" applyFont="1" applyBorder="1" applyAlignment="1">
      <alignment horizontal="centerContinuous" vertical="center" wrapText="1"/>
    </xf>
    <xf numFmtId="41" fontId="6" fillId="0" borderId="22" xfId="0" applyNumberFormat="1" applyFont="1" applyBorder="1" applyAlignment="1" quotePrefix="1">
      <alignment horizontal="center" vertical="center" wrapText="1"/>
    </xf>
    <xf numFmtId="41" fontId="0" fillId="0" borderId="0" xfId="0" applyNumberFormat="1" applyFont="1" applyBorder="1" applyAlignment="1">
      <alignment horizontal="centerContinuous"/>
    </xf>
    <xf numFmtId="41" fontId="6" fillId="0" borderId="2" xfId="0" applyNumberFormat="1" applyFont="1" applyBorder="1" applyAlignment="1">
      <alignment horizontal="centerContinuous" vertical="center" wrapText="1"/>
    </xf>
    <xf numFmtId="41" fontId="6" fillId="0" borderId="26" xfId="0" applyNumberFormat="1" applyFont="1" applyBorder="1" applyAlignment="1">
      <alignment horizontal="centerContinuous" vertical="center" wrapText="1"/>
    </xf>
    <xf numFmtId="41" fontId="10" fillId="0" borderId="0" xfId="0" applyNumberFormat="1" applyFont="1" applyAlignment="1">
      <alignment horizontal="centerContinuous"/>
    </xf>
    <xf numFmtId="41" fontId="2" fillId="0" borderId="14" xfId="0" applyNumberFormat="1" applyFont="1" applyBorder="1" applyAlignment="1">
      <alignment horizontal="centerContinuous" vertical="center" wrapText="1"/>
    </xf>
    <xf numFmtId="3" fontId="2" fillId="0" borderId="0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 quotePrefix="1">
      <alignment horizontal="center"/>
    </xf>
    <xf numFmtId="41" fontId="11" fillId="0" borderId="0" xfId="0" applyNumberFormat="1" applyFont="1" applyBorder="1" applyAlignment="1" quotePrefix="1">
      <alignment horizontal="center" vertical="top"/>
    </xf>
    <xf numFmtId="41" fontId="6" fillId="0" borderId="0" xfId="0" applyNumberFormat="1" applyFont="1" applyBorder="1" applyAlignment="1" quotePrefix="1">
      <alignment horizontal="center" vertical="top"/>
    </xf>
    <xf numFmtId="0" fontId="6" fillId="0" borderId="0" xfId="0" applyNumberFormat="1" applyFont="1" applyBorder="1" applyAlignment="1" quotePrefix="1">
      <alignment horizontal="center"/>
    </xf>
    <xf numFmtId="41" fontId="8" fillId="0" borderId="0" xfId="0" applyNumberFormat="1" applyFont="1" applyBorder="1" applyAlignment="1" quotePrefix="1">
      <alignment horizontal="center" vertical="center"/>
    </xf>
    <xf numFmtId="41" fontId="10" fillId="0" borderId="0" xfId="0" applyNumberFormat="1" applyFont="1" applyBorder="1" applyAlignment="1" quotePrefix="1">
      <alignment horizontal="center" vertical="center" wrapText="1"/>
    </xf>
    <xf numFmtId="41" fontId="6" fillId="0" borderId="21" xfId="0" applyNumberFormat="1" applyFont="1" applyBorder="1" applyAlignment="1">
      <alignment horizontal="centerContinuous" vertical="center" wrapText="1"/>
    </xf>
    <xf numFmtId="41" fontId="12" fillId="0" borderId="0" xfId="0" applyNumberFormat="1" applyFont="1" applyAlignment="1">
      <alignment horizontal="center" vertical="center" shrinkToFit="1"/>
    </xf>
    <xf numFmtId="189" fontId="5" fillId="0" borderId="0" xfId="34" applyNumberFormat="1" applyFont="1" applyBorder="1" applyAlignment="1">
      <alignment horizontal="center" vertical="center"/>
    </xf>
    <xf numFmtId="189" fontId="5" fillId="0" borderId="0" xfId="34" applyNumberFormat="1" applyFont="1" applyBorder="1" applyAlignment="1" quotePrefix="1">
      <alignment horizontal="center" vertical="center"/>
    </xf>
    <xf numFmtId="189" fontId="5" fillId="0" borderId="0" xfId="34" applyNumberFormat="1" applyFont="1" applyBorder="1" applyAlignment="1" quotePrefix="1">
      <alignment horizontal="center" vertical="center" shrinkToFit="1"/>
    </xf>
    <xf numFmtId="185" fontId="5" fillId="0" borderId="0" xfId="0" applyNumberFormat="1" applyFont="1" applyFill="1" applyAlignment="1">
      <alignment horizontal="right" vertical="center"/>
    </xf>
    <xf numFmtId="41" fontId="2" fillId="0" borderId="14" xfId="0" applyNumberFormat="1" applyFont="1" applyBorder="1" applyAlignment="1">
      <alignment horizontal="center" vertical="top" wrapText="1"/>
    </xf>
    <xf numFmtId="41" fontId="6" fillId="0" borderId="11" xfId="0" applyNumberFormat="1" applyFont="1" applyBorder="1" applyAlignment="1">
      <alignment/>
    </xf>
    <xf numFmtId="41" fontId="6" fillId="0" borderId="0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 quotePrefix="1">
      <alignment horizontal="center" vertical="center"/>
    </xf>
    <xf numFmtId="41" fontId="6" fillId="0" borderId="0" xfId="0" applyNumberFormat="1" applyFont="1" applyFill="1" applyBorder="1" applyAlignment="1">
      <alignment horizontal="center"/>
    </xf>
    <xf numFmtId="41" fontId="6" fillId="0" borderId="2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 quotePrefix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43" fontId="5" fillId="0" borderId="0" xfId="34" applyFont="1" applyFill="1" applyBorder="1" applyAlignment="1">
      <alignment horizontal="center" vertical="center"/>
    </xf>
    <xf numFmtId="194" fontId="5" fillId="0" borderId="0" xfId="3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1" fontId="6" fillId="0" borderId="2" xfId="0" applyNumberFormat="1" applyFont="1" applyFill="1" applyBorder="1" applyAlignment="1">
      <alignment horizontal="center" vertical="top" wrapText="1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 quotePrefix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189" fontId="5" fillId="0" borderId="0" xfId="34" applyNumberFormat="1" applyFont="1" applyFill="1" applyBorder="1" applyAlignment="1" quotePrefix="1">
      <alignment horizontal="center" vertical="center"/>
    </xf>
    <xf numFmtId="189" fontId="5" fillId="0" borderId="0" xfId="34" applyNumberFormat="1" applyFont="1" applyFill="1" applyBorder="1" applyAlignment="1">
      <alignment horizontal="center" vertical="center"/>
    </xf>
    <xf numFmtId="41" fontId="10" fillId="0" borderId="24" xfId="0" applyNumberFormat="1" applyFont="1" applyBorder="1" applyAlignment="1" quotePrefix="1">
      <alignment horizontal="center" vertical="center"/>
    </xf>
    <xf numFmtId="41" fontId="10" fillId="0" borderId="2" xfId="0" applyNumberFormat="1" applyFont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quotePrefix="1">
      <alignment horizontal="center" vertical="center"/>
    </xf>
    <xf numFmtId="41" fontId="5" fillId="0" borderId="0" xfId="34" applyNumberFormat="1" applyFont="1" applyFill="1" applyBorder="1" applyAlignment="1" quotePrefix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41" fontId="9" fillId="0" borderId="0" xfId="0" applyNumberFormat="1" applyFont="1" applyAlignment="1">
      <alignment/>
    </xf>
    <xf numFmtId="38" fontId="9" fillId="0" borderId="0" xfId="0" applyNumberFormat="1" applyFont="1" applyAlignment="1">
      <alignment vertical="center"/>
    </xf>
    <xf numFmtId="41" fontId="6" fillId="0" borderId="2" xfId="0" applyNumberFormat="1" applyFont="1" applyFill="1" applyBorder="1" applyAlignment="1" quotePrefix="1">
      <alignment horizontal="center" vertical="center"/>
    </xf>
    <xf numFmtId="41" fontId="12" fillId="0" borderId="0" xfId="0" applyNumberFormat="1" applyFont="1" applyFill="1" applyAlignment="1">
      <alignment horizontal="center" vertical="center" shrinkToFit="1"/>
    </xf>
    <xf numFmtId="3" fontId="8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 quotePrefix="1">
      <alignment horizontal="center" vertical="center"/>
    </xf>
    <xf numFmtId="41" fontId="17" fillId="0" borderId="0" xfId="0" applyNumberFormat="1" applyFont="1" applyAlignment="1">
      <alignment horizontal="centerContinuous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3" fontId="18" fillId="0" borderId="0" xfId="0" applyNumberFormat="1" applyFont="1" applyBorder="1" applyAlignment="1">
      <alignment horizontal="center" vertical="center"/>
    </xf>
    <xf numFmtId="41" fontId="5" fillId="0" borderId="0" xfId="34" applyNumberFormat="1" applyFont="1" applyBorder="1" applyAlignment="1" quotePrefix="1">
      <alignment horizontal="center" vertical="center"/>
    </xf>
    <xf numFmtId="41" fontId="5" fillId="0" borderId="0" xfId="34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 quotePrefix="1">
      <alignment horizontal="center" vertical="center"/>
    </xf>
    <xf numFmtId="41" fontId="2" fillId="0" borderId="18" xfId="0" applyNumberFormat="1" applyFont="1" applyBorder="1" applyAlignment="1">
      <alignment horizontal="center" wrapText="1"/>
    </xf>
    <xf numFmtId="43" fontId="5" fillId="0" borderId="0" xfId="0" applyNumberFormat="1" applyFont="1" applyFill="1" applyAlignment="1">
      <alignment horizontal="center" vertical="center"/>
    </xf>
    <xf numFmtId="43" fontId="6" fillId="0" borderId="0" xfId="0" applyNumberFormat="1" applyFont="1" applyFill="1" applyAlignment="1">
      <alignment/>
    </xf>
    <xf numFmtId="41" fontId="8" fillId="0" borderId="2" xfId="0" applyNumberFormat="1" applyFont="1" applyFill="1" applyBorder="1" applyAlignment="1" quotePrefix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 quotePrefix="1">
      <alignment horizontal="center" vertical="center" wrapText="1"/>
    </xf>
    <xf numFmtId="43" fontId="5" fillId="0" borderId="0" xfId="34" applyFont="1" applyFill="1" applyBorder="1" applyAlignment="1">
      <alignment horizontal="right" vertical="center"/>
    </xf>
    <xf numFmtId="43" fontId="18" fillId="0" borderId="1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8" fontId="6" fillId="0" borderId="21" xfId="0" applyNumberFormat="1" applyFont="1" applyBorder="1" applyAlignment="1">
      <alignment horizontal="center" vertical="center" wrapText="1"/>
    </xf>
    <xf numFmtId="38" fontId="6" fillId="0" borderId="26" xfId="0" applyNumberFormat="1" applyFont="1" applyBorder="1" applyAlignment="1" quotePrefix="1">
      <alignment horizontal="center" vertical="center" wrapText="1"/>
    </xf>
    <xf numFmtId="38" fontId="6" fillId="0" borderId="23" xfId="0" applyNumberFormat="1" applyFont="1" applyBorder="1" applyAlignment="1" quotePrefix="1">
      <alignment horizontal="center" vertical="center" wrapText="1"/>
    </xf>
    <xf numFmtId="38" fontId="6" fillId="0" borderId="19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 horizontal="right" vertical="center"/>
    </xf>
    <xf numFmtId="38" fontId="6" fillId="0" borderId="17" xfId="0" applyNumberFormat="1" applyFont="1" applyBorder="1" applyAlignment="1">
      <alignment horizontal="center" vertical="center"/>
    </xf>
    <xf numFmtId="38" fontId="6" fillId="0" borderId="16" xfId="0" applyNumberFormat="1" applyFont="1" applyBorder="1" applyAlignment="1" quotePrefix="1">
      <alignment horizontal="center" vertical="center"/>
    </xf>
    <xf numFmtId="38" fontId="6" fillId="0" borderId="27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 quotePrefix="1">
      <alignment horizontal="center" vertical="center" wrapText="1"/>
    </xf>
    <xf numFmtId="38" fontId="6" fillId="0" borderId="0" xfId="0" applyNumberFormat="1" applyFont="1" applyBorder="1" applyAlignment="1" quotePrefix="1">
      <alignment horizontal="center" vertical="center" wrapText="1"/>
    </xf>
    <xf numFmtId="38" fontId="6" fillId="0" borderId="2" xfId="0" applyNumberFormat="1" applyFont="1" applyBorder="1" applyAlignment="1" quotePrefix="1">
      <alignment horizontal="center" vertical="center" wrapText="1"/>
    </xf>
    <xf numFmtId="38" fontId="2" fillId="0" borderId="0" xfId="0" applyNumberFormat="1" applyFont="1" applyBorder="1" applyAlignment="1">
      <alignment horizontal="center" vertical="center" wrapText="1"/>
    </xf>
    <xf numFmtId="38" fontId="6" fillId="0" borderId="11" xfId="0" applyNumberFormat="1" applyFont="1" applyBorder="1" applyAlignment="1" quotePrefix="1">
      <alignment horizontal="center" vertical="center" wrapText="1"/>
    </xf>
    <xf numFmtId="38" fontId="6" fillId="0" borderId="14" xfId="0" applyNumberFormat="1" applyFont="1" applyBorder="1" applyAlignment="1" quotePrefix="1">
      <alignment horizontal="center" vertical="center" wrapText="1"/>
    </xf>
    <xf numFmtId="38" fontId="6" fillId="0" borderId="22" xfId="0" applyNumberFormat="1" applyFont="1" applyBorder="1" applyAlignment="1">
      <alignment horizontal="center" vertical="center" wrapText="1"/>
    </xf>
    <xf numFmtId="38" fontId="2" fillId="0" borderId="26" xfId="0" applyNumberFormat="1" applyFont="1" applyBorder="1" applyAlignment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 wrapText="1"/>
    </xf>
    <xf numFmtId="38" fontId="6" fillId="0" borderId="22" xfId="0" applyNumberFormat="1" applyFont="1" applyBorder="1" applyAlignment="1">
      <alignment horizontal="center" vertical="center"/>
    </xf>
    <xf numFmtId="38" fontId="6" fillId="0" borderId="26" xfId="0" applyNumberFormat="1" applyFont="1" applyBorder="1" applyAlignment="1" quotePrefix="1">
      <alignment horizontal="center" vertical="center"/>
    </xf>
    <xf numFmtId="38" fontId="2" fillId="0" borderId="12" xfId="0" applyNumberFormat="1" applyFont="1" applyBorder="1" applyAlignment="1">
      <alignment horizontal="center" vertical="center" wrapText="1"/>
    </xf>
    <xf numFmtId="38" fontId="6" fillId="0" borderId="28" xfId="0" applyNumberFormat="1" applyFont="1" applyBorder="1" applyAlignment="1" quotePrefix="1">
      <alignment horizontal="center" vertical="center" wrapText="1"/>
    </xf>
    <xf numFmtId="38" fontId="2" fillId="0" borderId="16" xfId="0" applyNumberFormat="1" applyFont="1" applyBorder="1" applyAlignment="1">
      <alignment horizontal="center" vertical="center" wrapText="1"/>
    </xf>
    <xf numFmtId="38" fontId="6" fillId="0" borderId="15" xfId="0" applyNumberFormat="1" applyFont="1" applyBorder="1" applyAlignment="1" quotePrefix="1">
      <alignment horizontal="center" vertical="center" wrapText="1"/>
    </xf>
    <xf numFmtId="41" fontId="6" fillId="0" borderId="21" xfId="0" applyNumberFormat="1" applyFont="1" applyBorder="1" applyAlignment="1">
      <alignment horizontal="center" vertical="center"/>
    </xf>
    <xf numFmtId="41" fontId="6" fillId="0" borderId="26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28" xfId="0" applyNumberFormat="1" applyFont="1" applyBorder="1" applyAlignment="1">
      <alignment horizontal="center" vertical="center"/>
    </xf>
    <xf numFmtId="41" fontId="6" fillId="0" borderId="29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29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28" xfId="0" applyNumberFormat="1" applyFont="1" applyFill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 wrapText="1"/>
    </xf>
    <xf numFmtId="41" fontId="6" fillId="0" borderId="26" xfId="0" applyNumberFormat="1" applyFont="1" applyBorder="1" applyAlignment="1">
      <alignment horizontal="center" vertical="center" wrapText="1"/>
    </xf>
    <xf numFmtId="41" fontId="2" fillId="0" borderId="30" xfId="0" applyNumberFormat="1" applyFont="1" applyBorder="1" applyAlignment="1">
      <alignment horizontal="center" vertical="center" wrapText="1"/>
    </xf>
    <xf numFmtId="41" fontId="8" fillId="0" borderId="12" xfId="0" applyNumberFormat="1" applyFont="1" applyBorder="1" applyAlignment="1">
      <alignment horizontal="center" vertical="center" wrapText="1"/>
    </xf>
    <xf numFmtId="41" fontId="8" fillId="0" borderId="28" xfId="0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/>
    </xf>
    <xf numFmtId="41" fontId="6" fillId="0" borderId="27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 quotePrefix="1">
      <alignment horizontal="center" vertical="center" wrapText="1"/>
    </xf>
    <xf numFmtId="41" fontId="6" fillId="0" borderId="0" xfId="0" applyNumberFormat="1" applyFont="1" applyBorder="1" applyAlignment="1" quotePrefix="1">
      <alignment horizontal="center" vertical="center" wrapText="1"/>
    </xf>
    <xf numFmtId="41" fontId="6" fillId="0" borderId="2" xfId="0" applyNumberFormat="1" applyFont="1" applyBorder="1" applyAlignment="1" quotePrefix="1">
      <alignment horizontal="center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17" xfId="0" applyNumberFormat="1" applyFont="1" applyBorder="1" applyAlignment="1">
      <alignment horizontal="center"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center" vertical="center" wrapText="1"/>
    </xf>
    <xf numFmtId="41" fontId="10" fillId="0" borderId="14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/>
    </xf>
    <xf numFmtId="41" fontId="11" fillId="0" borderId="2" xfId="0" applyNumberFormat="1" applyFont="1" applyBorder="1" applyAlignment="1">
      <alignment horizontal="center" vertical="center"/>
    </xf>
    <xf numFmtId="41" fontId="35" fillId="0" borderId="2" xfId="0" applyNumberFormat="1" applyFont="1" applyBorder="1" applyAlignment="1">
      <alignment horizontal="center" vertical="center"/>
    </xf>
    <xf numFmtId="41" fontId="11" fillId="0" borderId="2" xfId="0" applyNumberFormat="1" applyFont="1" applyBorder="1" applyAlignment="1">
      <alignment horizontal="center" vertical="top" wrapText="1"/>
    </xf>
    <xf numFmtId="41" fontId="35" fillId="0" borderId="2" xfId="0" applyNumberFormat="1" applyFont="1" applyBorder="1" applyAlignment="1">
      <alignment horizontal="center" vertical="top" wrapText="1"/>
    </xf>
    <xf numFmtId="41" fontId="11" fillId="0" borderId="2" xfId="0" applyNumberFormat="1" applyFont="1" applyFill="1" applyBorder="1" applyAlignment="1">
      <alignment horizontal="center" vertical="center"/>
    </xf>
    <xf numFmtId="41" fontId="35" fillId="0" borderId="2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center" vertical="top" wrapText="1"/>
    </xf>
    <xf numFmtId="41" fontId="11" fillId="0" borderId="2" xfId="0" applyNumberFormat="1" applyFont="1" applyBorder="1" applyAlignment="1">
      <alignment horizontal="center" vertical="center" wrapText="1"/>
    </xf>
    <xf numFmtId="41" fontId="35" fillId="0" borderId="14" xfId="0" applyNumberFormat="1" applyFont="1" applyBorder="1" applyAlignment="1">
      <alignment horizontal="center" vertical="top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年資料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1"/>
  <sheetViews>
    <sheetView zoomScale="120" zoomScaleNormal="120" zoomScalePageLayoutView="0" workbookViewId="0" topLeftCell="A4">
      <selection activeCell="B3" sqref="B3"/>
    </sheetView>
  </sheetViews>
  <sheetFormatPr defaultColWidth="9.00390625" defaultRowHeight="16.5"/>
  <cols>
    <col min="1" max="1" width="11.25390625" style="39" customWidth="1"/>
    <col min="2" max="2" width="7.25390625" style="39" customWidth="1"/>
    <col min="3" max="3" width="11.25390625" style="27" customWidth="1"/>
    <col min="4" max="4" width="10.625" style="27" customWidth="1"/>
    <col min="5" max="5" width="10.375" style="27" customWidth="1"/>
    <col min="6" max="6" width="9.25390625" style="27" customWidth="1"/>
    <col min="7" max="7" width="8.75390625" style="27" customWidth="1"/>
    <col min="8" max="8" width="9.625" style="27" customWidth="1"/>
    <col min="9" max="9" width="7.75390625" style="27" customWidth="1"/>
    <col min="10" max="10" width="9.875" style="27" customWidth="1"/>
    <col min="11" max="11" width="9.375" style="27" customWidth="1"/>
    <col min="12" max="12" width="9.25390625" style="27" customWidth="1"/>
    <col min="13" max="13" width="9.875" style="27" customWidth="1"/>
    <col min="14" max="14" width="9.25390625" style="27" customWidth="1"/>
    <col min="15" max="15" width="9.75390625" style="27" customWidth="1"/>
    <col min="16" max="16" width="8.125" style="27" customWidth="1"/>
    <col min="17" max="17" width="11.125" style="27" customWidth="1"/>
    <col min="18" max="18" width="8.75390625" style="27" customWidth="1"/>
    <col min="19" max="16384" width="9.00390625" style="27" customWidth="1"/>
  </cols>
  <sheetData>
    <row r="1" spans="1:19" s="7" customFormat="1" ht="15.75" customHeight="1">
      <c r="A1" s="3" t="s">
        <v>473</v>
      </c>
      <c r="B1" s="3"/>
      <c r="C1" s="5"/>
      <c r="D1" s="5"/>
      <c r="E1" s="5"/>
      <c r="F1" s="5"/>
      <c r="G1" s="5"/>
      <c r="H1" s="5"/>
      <c r="I1" s="5"/>
      <c r="J1" s="5"/>
      <c r="K1" s="5"/>
      <c r="L1" s="6"/>
      <c r="M1" s="5"/>
      <c r="N1" s="5"/>
      <c r="O1" s="5"/>
      <c r="P1" s="4"/>
      <c r="Q1" s="290" t="s">
        <v>474</v>
      </c>
      <c r="R1" s="290"/>
      <c r="S1" s="4"/>
    </row>
    <row r="2" spans="1:18" s="7" customFormat="1" ht="26.25" customHeight="1">
      <c r="A2" s="8"/>
      <c r="B2" s="134" t="s">
        <v>116</v>
      </c>
      <c r="C2" s="9"/>
      <c r="D2" s="9"/>
      <c r="E2" s="9"/>
      <c r="F2" s="9"/>
      <c r="G2" s="9"/>
      <c r="H2" s="134"/>
      <c r="K2" s="134" t="s">
        <v>118</v>
      </c>
      <c r="L2" s="135"/>
      <c r="M2" s="9"/>
      <c r="N2" s="9"/>
      <c r="O2" s="9"/>
      <c r="P2" s="9"/>
      <c r="Q2" s="136"/>
      <c r="R2" s="10"/>
    </row>
    <row r="3" spans="1:18" s="15" customFormat="1" ht="15.75">
      <c r="A3" s="11"/>
      <c r="B3" s="13" t="s">
        <v>117</v>
      </c>
      <c r="C3" s="13"/>
      <c r="D3" s="13"/>
      <c r="E3" s="13"/>
      <c r="F3" s="13"/>
      <c r="G3" s="13"/>
      <c r="H3" s="13"/>
      <c r="I3" s="12"/>
      <c r="J3" s="7"/>
      <c r="K3" s="13" t="s">
        <v>119</v>
      </c>
      <c r="L3" s="13"/>
      <c r="M3" s="13"/>
      <c r="N3" s="13"/>
      <c r="O3" s="13"/>
      <c r="P3" s="13"/>
      <c r="Q3" s="136"/>
      <c r="R3" s="14"/>
    </row>
    <row r="4" spans="1:18" s="7" customFormat="1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5"/>
      <c r="N4" s="5"/>
      <c r="O4" s="5"/>
      <c r="P4" s="5"/>
      <c r="R4" s="6"/>
    </row>
    <row r="5" spans="1:18" s="7" customFormat="1" ht="15.75" customHeight="1" thickBot="1">
      <c r="A5" s="16" t="s">
        <v>113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133" t="s">
        <v>115</v>
      </c>
    </row>
    <row r="6" spans="1:18" s="7" customFormat="1" ht="15.75" customHeight="1">
      <c r="A6" s="293" t="s">
        <v>74</v>
      </c>
      <c r="B6" s="294"/>
      <c r="C6" s="300" t="s">
        <v>75</v>
      </c>
      <c r="D6" s="18"/>
      <c r="E6" s="19"/>
      <c r="F6" s="19"/>
      <c r="G6" s="19"/>
      <c r="H6" s="19"/>
      <c r="I6" s="20" t="s">
        <v>25</v>
      </c>
      <c r="J6" s="21" t="s">
        <v>33</v>
      </c>
      <c r="K6" s="22"/>
      <c r="L6" s="22"/>
      <c r="M6" s="22"/>
      <c r="N6" s="23"/>
      <c r="O6" s="24"/>
      <c r="P6" s="22"/>
      <c r="Q6" s="303" t="s">
        <v>72</v>
      </c>
      <c r="R6" s="291" t="s">
        <v>73</v>
      </c>
    </row>
    <row r="7" spans="1:18" s="7" customFormat="1" ht="18" customHeight="1">
      <c r="A7" s="295"/>
      <c r="B7" s="296"/>
      <c r="C7" s="287"/>
      <c r="D7" s="278" t="s">
        <v>9</v>
      </c>
      <c r="E7" s="278" t="s">
        <v>2</v>
      </c>
      <c r="F7" s="284" t="s">
        <v>85</v>
      </c>
      <c r="G7" s="284" t="s">
        <v>84</v>
      </c>
      <c r="H7" s="278" t="s">
        <v>3</v>
      </c>
      <c r="I7" s="284" t="s">
        <v>86</v>
      </c>
      <c r="J7" s="288" t="s">
        <v>34</v>
      </c>
      <c r="K7" s="289"/>
      <c r="L7" s="286" t="s">
        <v>55</v>
      </c>
      <c r="M7" s="286" t="s">
        <v>70</v>
      </c>
      <c r="N7" s="286" t="s">
        <v>71</v>
      </c>
      <c r="O7" s="278" t="s">
        <v>32</v>
      </c>
      <c r="P7" s="286" t="s">
        <v>30</v>
      </c>
      <c r="Q7" s="304"/>
      <c r="R7" s="292"/>
    </row>
    <row r="8" spans="1:18" s="7" customFormat="1" ht="21.75" customHeight="1">
      <c r="A8" s="295"/>
      <c r="B8" s="296"/>
      <c r="C8" s="287"/>
      <c r="D8" s="279"/>
      <c r="E8" s="279"/>
      <c r="F8" s="285"/>
      <c r="G8" s="285"/>
      <c r="H8" s="279"/>
      <c r="I8" s="285"/>
      <c r="J8" s="305" t="s">
        <v>87</v>
      </c>
      <c r="K8" s="306"/>
      <c r="L8" s="287"/>
      <c r="M8" s="287"/>
      <c r="N8" s="287"/>
      <c r="O8" s="279"/>
      <c r="P8" s="287"/>
      <c r="Q8" s="304"/>
      <c r="R8" s="292"/>
    </row>
    <row r="9" spans="1:18" s="7" customFormat="1" ht="31.5" customHeight="1">
      <c r="A9" s="297" t="s">
        <v>76</v>
      </c>
      <c r="B9" s="296"/>
      <c r="C9" s="280" t="s">
        <v>77</v>
      </c>
      <c r="D9" s="280" t="s">
        <v>78</v>
      </c>
      <c r="E9" s="282" t="s">
        <v>79</v>
      </c>
      <c r="F9" s="282" t="s">
        <v>80</v>
      </c>
      <c r="G9" s="282" t="s">
        <v>81</v>
      </c>
      <c r="H9" s="282" t="s">
        <v>82</v>
      </c>
      <c r="I9" s="282" t="s">
        <v>83</v>
      </c>
      <c r="J9" s="131" t="s">
        <v>68</v>
      </c>
      <c r="K9" s="131" t="s">
        <v>69</v>
      </c>
      <c r="L9" s="282" t="s">
        <v>90</v>
      </c>
      <c r="M9" s="282" t="s">
        <v>91</v>
      </c>
      <c r="N9" s="282" t="s">
        <v>92</v>
      </c>
      <c r="O9" s="301" t="s">
        <v>93</v>
      </c>
      <c r="P9" s="279"/>
      <c r="Q9" s="301" t="s">
        <v>94</v>
      </c>
      <c r="R9" s="307" t="s">
        <v>95</v>
      </c>
    </row>
    <row r="10" spans="1:18" s="7" customFormat="1" ht="39.75" customHeight="1" thickBot="1">
      <c r="A10" s="298"/>
      <c r="B10" s="299"/>
      <c r="C10" s="281"/>
      <c r="D10" s="281"/>
      <c r="E10" s="283"/>
      <c r="F10" s="283"/>
      <c r="G10" s="283"/>
      <c r="H10" s="283"/>
      <c r="I10" s="283"/>
      <c r="J10" s="130" t="s">
        <v>88</v>
      </c>
      <c r="K10" s="130" t="s">
        <v>89</v>
      </c>
      <c r="L10" s="283"/>
      <c r="M10" s="283"/>
      <c r="N10" s="283"/>
      <c r="O10" s="302"/>
      <c r="P10" s="281"/>
      <c r="Q10" s="302"/>
      <c r="R10" s="308"/>
    </row>
    <row r="11" spans="1:31" s="29" customFormat="1" ht="19.5" customHeight="1" hidden="1">
      <c r="A11" s="207" t="s">
        <v>304</v>
      </c>
      <c r="B11" s="132" t="s">
        <v>98</v>
      </c>
      <c r="C11" s="218">
        <f aca="true" t="shared" si="0" ref="C11:C17">SUM(D11,Q11,R11)</f>
        <v>80350</v>
      </c>
      <c r="D11" s="217">
        <f aca="true" t="shared" si="1" ref="D11:D17">SUM(E11:P11)</f>
        <v>71677</v>
      </c>
      <c r="E11" s="217">
        <v>48596</v>
      </c>
      <c r="F11" s="217">
        <v>0</v>
      </c>
      <c r="G11" s="217">
        <v>650</v>
      </c>
      <c r="H11" s="217">
        <v>526</v>
      </c>
      <c r="I11" s="217">
        <v>0</v>
      </c>
      <c r="J11" s="217">
        <v>1365</v>
      </c>
      <c r="K11" s="217">
        <v>0</v>
      </c>
      <c r="L11" s="217">
        <v>0</v>
      </c>
      <c r="M11" s="217">
        <v>18361</v>
      </c>
      <c r="N11" s="217">
        <v>0</v>
      </c>
      <c r="O11" s="217">
        <v>2179</v>
      </c>
      <c r="P11" s="217">
        <v>0</v>
      </c>
      <c r="Q11" s="217">
        <v>8673</v>
      </c>
      <c r="R11" s="217">
        <v>0</v>
      </c>
      <c r="S11" s="28"/>
      <c r="AE11" s="30"/>
    </row>
    <row r="12" spans="1:31" s="29" customFormat="1" ht="19.5" customHeight="1" hidden="1">
      <c r="A12" s="207" t="s">
        <v>305</v>
      </c>
      <c r="B12" s="132" t="s">
        <v>99</v>
      </c>
      <c r="C12" s="218">
        <f t="shared" si="0"/>
        <v>95345</v>
      </c>
      <c r="D12" s="217">
        <f t="shared" si="1"/>
        <v>95345</v>
      </c>
      <c r="E12" s="217">
        <v>59858</v>
      </c>
      <c r="F12" s="217">
        <v>0</v>
      </c>
      <c r="G12" s="217">
        <v>127</v>
      </c>
      <c r="H12" s="217">
        <v>614</v>
      </c>
      <c r="I12" s="217">
        <v>0</v>
      </c>
      <c r="J12" s="217">
        <v>1219</v>
      </c>
      <c r="K12" s="217">
        <v>0</v>
      </c>
      <c r="L12" s="217">
        <v>0</v>
      </c>
      <c r="M12" s="217">
        <v>32754</v>
      </c>
      <c r="N12" s="217">
        <v>0</v>
      </c>
      <c r="O12" s="217">
        <v>773</v>
      </c>
      <c r="P12" s="217">
        <v>0</v>
      </c>
      <c r="Q12" s="217">
        <v>0</v>
      </c>
      <c r="R12" s="217">
        <v>0</v>
      </c>
      <c r="S12" s="28"/>
      <c r="AE12" s="30"/>
    </row>
    <row r="13" spans="1:31" s="29" customFormat="1" ht="19.5" customHeight="1" hidden="1">
      <c r="A13" s="207" t="s">
        <v>306</v>
      </c>
      <c r="B13" s="132" t="s">
        <v>100</v>
      </c>
      <c r="C13" s="218">
        <f t="shared" si="0"/>
        <v>148931</v>
      </c>
      <c r="D13" s="217">
        <f t="shared" si="1"/>
        <v>147931</v>
      </c>
      <c r="E13" s="217">
        <v>70939</v>
      </c>
      <c r="F13" s="217">
        <v>0</v>
      </c>
      <c r="G13" s="217">
        <v>171</v>
      </c>
      <c r="H13" s="217">
        <v>577</v>
      </c>
      <c r="I13" s="217">
        <v>0</v>
      </c>
      <c r="J13" s="217">
        <v>979</v>
      </c>
      <c r="K13" s="217">
        <v>0</v>
      </c>
      <c r="L13" s="217">
        <v>0</v>
      </c>
      <c r="M13" s="217">
        <v>71854</v>
      </c>
      <c r="N13" s="217">
        <v>0</v>
      </c>
      <c r="O13" s="217">
        <v>3411</v>
      </c>
      <c r="P13" s="217">
        <v>0</v>
      </c>
      <c r="Q13" s="217">
        <v>1000</v>
      </c>
      <c r="R13" s="217">
        <v>0</v>
      </c>
      <c r="S13" s="28"/>
      <c r="AE13" s="30"/>
    </row>
    <row r="14" spans="1:31" s="29" customFormat="1" ht="19.5" customHeight="1" hidden="1">
      <c r="A14" s="32" t="s">
        <v>307</v>
      </c>
      <c r="B14" s="132" t="s">
        <v>308</v>
      </c>
      <c r="C14" s="218">
        <f t="shared" si="0"/>
        <v>201858</v>
      </c>
      <c r="D14" s="217">
        <f t="shared" si="1"/>
        <v>160028</v>
      </c>
      <c r="E14" s="217">
        <v>77064</v>
      </c>
      <c r="F14" s="217">
        <v>0</v>
      </c>
      <c r="G14" s="217">
        <v>787</v>
      </c>
      <c r="H14" s="217">
        <v>576</v>
      </c>
      <c r="I14" s="217">
        <v>0</v>
      </c>
      <c r="J14" s="217">
        <v>1200</v>
      </c>
      <c r="K14" s="217">
        <v>0</v>
      </c>
      <c r="L14" s="217">
        <v>0</v>
      </c>
      <c r="M14" s="217">
        <v>70992</v>
      </c>
      <c r="N14" s="217">
        <v>0</v>
      </c>
      <c r="O14" s="217">
        <v>9409</v>
      </c>
      <c r="P14" s="217">
        <v>0</v>
      </c>
      <c r="Q14" s="217">
        <v>41830</v>
      </c>
      <c r="R14" s="217">
        <v>0</v>
      </c>
      <c r="S14" s="28"/>
      <c r="AE14" s="30"/>
    </row>
    <row r="15" spans="1:31" s="29" customFormat="1" ht="19.5" customHeight="1">
      <c r="A15" s="32" t="s">
        <v>337</v>
      </c>
      <c r="B15" s="132" t="s">
        <v>309</v>
      </c>
      <c r="C15" s="218">
        <f t="shared" si="0"/>
        <v>152650</v>
      </c>
      <c r="D15" s="217">
        <f t="shared" si="1"/>
        <v>152650</v>
      </c>
      <c r="E15" s="217">
        <v>85286</v>
      </c>
      <c r="F15" s="217">
        <v>0</v>
      </c>
      <c r="G15" s="217">
        <v>154</v>
      </c>
      <c r="H15" s="217">
        <v>554</v>
      </c>
      <c r="I15" s="217">
        <v>0</v>
      </c>
      <c r="J15" s="217">
        <v>947</v>
      </c>
      <c r="K15" s="217">
        <v>0</v>
      </c>
      <c r="L15" s="217">
        <v>0</v>
      </c>
      <c r="M15" s="217">
        <v>56386</v>
      </c>
      <c r="N15" s="217">
        <v>0</v>
      </c>
      <c r="O15" s="217">
        <v>9323</v>
      </c>
      <c r="P15" s="217">
        <v>0</v>
      </c>
      <c r="Q15" s="217">
        <v>0</v>
      </c>
      <c r="R15" s="217">
        <v>0</v>
      </c>
      <c r="S15" s="28"/>
      <c r="AE15" s="30"/>
    </row>
    <row r="16" spans="1:31" s="29" customFormat="1" ht="19.5" customHeight="1">
      <c r="A16" s="32" t="s">
        <v>395</v>
      </c>
      <c r="B16" s="132" t="s">
        <v>394</v>
      </c>
      <c r="C16" s="218">
        <f t="shared" si="0"/>
        <v>136254</v>
      </c>
      <c r="D16" s="217">
        <f t="shared" si="1"/>
        <v>136254</v>
      </c>
      <c r="E16" s="217">
        <v>86569</v>
      </c>
      <c r="F16" s="217">
        <v>0</v>
      </c>
      <c r="G16" s="217">
        <v>154</v>
      </c>
      <c r="H16" s="217">
        <v>649</v>
      </c>
      <c r="I16" s="217">
        <v>0</v>
      </c>
      <c r="J16" s="217">
        <v>1133</v>
      </c>
      <c r="K16" s="217">
        <v>0</v>
      </c>
      <c r="L16" s="217">
        <v>0</v>
      </c>
      <c r="M16" s="217">
        <v>36769</v>
      </c>
      <c r="N16" s="217">
        <v>757</v>
      </c>
      <c r="O16" s="217">
        <v>10223</v>
      </c>
      <c r="P16" s="217">
        <v>0</v>
      </c>
      <c r="Q16" s="217">
        <v>0</v>
      </c>
      <c r="R16" s="217">
        <v>0</v>
      </c>
      <c r="S16" s="28"/>
      <c r="AE16" s="30"/>
    </row>
    <row r="17" spans="1:31" s="29" customFormat="1" ht="19.5" customHeight="1">
      <c r="A17" s="32" t="s">
        <v>401</v>
      </c>
      <c r="B17" s="132" t="s">
        <v>400</v>
      </c>
      <c r="C17" s="218">
        <f t="shared" si="0"/>
        <v>130956</v>
      </c>
      <c r="D17" s="217">
        <f t="shared" si="1"/>
        <v>117927</v>
      </c>
      <c r="E17" s="217">
        <v>88545</v>
      </c>
      <c r="F17" s="217">
        <v>0</v>
      </c>
      <c r="G17" s="217">
        <v>868</v>
      </c>
      <c r="H17" s="217">
        <v>1007</v>
      </c>
      <c r="I17" s="217">
        <v>0</v>
      </c>
      <c r="J17" s="217">
        <v>2098</v>
      </c>
      <c r="K17" s="217">
        <v>0</v>
      </c>
      <c r="L17" s="217">
        <v>0</v>
      </c>
      <c r="M17" s="217">
        <v>20179</v>
      </c>
      <c r="N17" s="217">
        <v>0</v>
      </c>
      <c r="O17" s="217">
        <v>5230</v>
      </c>
      <c r="P17" s="217">
        <v>0</v>
      </c>
      <c r="Q17" s="217">
        <v>13029</v>
      </c>
      <c r="R17" s="217">
        <v>0</v>
      </c>
      <c r="S17" s="28"/>
      <c r="AE17" s="30"/>
    </row>
    <row r="18" spans="1:31" s="29" customFormat="1" ht="19.5" customHeight="1">
      <c r="A18" s="32" t="s">
        <v>402</v>
      </c>
      <c r="B18" s="132" t="s">
        <v>403</v>
      </c>
      <c r="C18" s="218">
        <v>134198</v>
      </c>
      <c r="D18" s="218">
        <v>119863</v>
      </c>
      <c r="E18" s="218">
        <v>81260</v>
      </c>
      <c r="F18" s="218">
        <v>0</v>
      </c>
      <c r="G18" s="218">
        <v>102</v>
      </c>
      <c r="H18" s="218">
        <v>2467</v>
      </c>
      <c r="I18" s="218">
        <v>0</v>
      </c>
      <c r="J18" s="218">
        <v>2586</v>
      </c>
      <c r="K18" s="218">
        <v>0</v>
      </c>
      <c r="L18" s="218">
        <v>0</v>
      </c>
      <c r="M18" s="218">
        <v>31450</v>
      </c>
      <c r="N18" s="218">
        <v>0</v>
      </c>
      <c r="O18" s="218">
        <v>1998</v>
      </c>
      <c r="P18" s="218">
        <v>0</v>
      </c>
      <c r="Q18" s="219">
        <v>14335</v>
      </c>
      <c r="R18" s="218">
        <v>0</v>
      </c>
      <c r="S18" s="28"/>
      <c r="AE18" s="30"/>
    </row>
    <row r="19" spans="1:31" s="29" customFormat="1" ht="19.5" customHeight="1">
      <c r="A19" s="32" t="s">
        <v>411</v>
      </c>
      <c r="B19" s="132" t="s">
        <v>410</v>
      </c>
      <c r="C19" s="218">
        <v>118763.59300000001</v>
      </c>
      <c r="D19" s="218">
        <v>104428.59300000001</v>
      </c>
      <c r="E19" s="218">
        <v>57590.746999999996</v>
      </c>
      <c r="F19" s="218">
        <v>0</v>
      </c>
      <c r="G19" s="218">
        <v>154.74099999999999</v>
      </c>
      <c r="H19" s="218">
        <v>2539.9830000000006</v>
      </c>
      <c r="I19" s="218">
        <v>0</v>
      </c>
      <c r="J19" s="218">
        <v>1550.31</v>
      </c>
      <c r="K19" s="218">
        <v>0</v>
      </c>
      <c r="L19" s="218">
        <v>0</v>
      </c>
      <c r="M19" s="218">
        <v>41898.149</v>
      </c>
      <c r="N19" s="218">
        <v>600</v>
      </c>
      <c r="O19" s="218">
        <v>94.66300000000001</v>
      </c>
      <c r="P19" s="218">
        <v>0</v>
      </c>
      <c r="Q19" s="219">
        <v>14335</v>
      </c>
      <c r="R19" s="218">
        <v>0</v>
      </c>
      <c r="S19" s="28"/>
      <c r="AE19" s="30"/>
    </row>
    <row r="20" spans="1:31" s="29" customFormat="1" ht="19.5" customHeight="1">
      <c r="A20" s="32" t="s">
        <v>412</v>
      </c>
      <c r="B20" s="132" t="s">
        <v>413</v>
      </c>
      <c r="C20" s="218">
        <v>185629</v>
      </c>
      <c r="D20" s="218">
        <v>185629</v>
      </c>
      <c r="E20" s="218">
        <v>76868</v>
      </c>
      <c r="F20" s="218">
        <v>0</v>
      </c>
      <c r="G20" s="218">
        <v>208</v>
      </c>
      <c r="H20" s="218">
        <v>1235</v>
      </c>
      <c r="I20" s="218">
        <v>0</v>
      </c>
      <c r="J20" s="218">
        <v>1191</v>
      </c>
      <c r="K20" s="218">
        <v>0</v>
      </c>
      <c r="L20" s="218">
        <v>0</v>
      </c>
      <c r="M20" s="218">
        <v>79172</v>
      </c>
      <c r="N20" s="218">
        <v>11160</v>
      </c>
      <c r="O20" s="218">
        <v>15795</v>
      </c>
      <c r="P20" s="218">
        <v>0</v>
      </c>
      <c r="Q20" s="219"/>
      <c r="R20" s="218">
        <v>0</v>
      </c>
      <c r="S20" s="28"/>
      <c r="AE20" s="30"/>
    </row>
    <row r="21" spans="1:31" s="29" customFormat="1" ht="19.5" customHeight="1">
      <c r="A21" s="32" t="s">
        <v>416</v>
      </c>
      <c r="B21" s="132" t="s">
        <v>417</v>
      </c>
      <c r="C21" s="218">
        <v>190625</v>
      </c>
      <c r="D21" s="218">
        <v>174831</v>
      </c>
      <c r="E21" s="218">
        <v>105942</v>
      </c>
      <c r="F21" s="218">
        <f aca="true" t="shared" si="2" ref="F21:R21">SUM(F30:F41)</f>
        <v>0</v>
      </c>
      <c r="G21" s="218">
        <v>243</v>
      </c>
      <c r="H21" s="218">
        <v>2477</v>
      </c>
      <c r="I21" s="218">
        <f t="shared" si="2"/>
        <v>0</v>
      </c>
      <c r="J21" s="218">
        <v>862</v>
      </c>
      <c r="K21" s="218">
        <f t="shared" si="2"/>
        <v>19.552</v>
      </c>
      <c r="L21" s="218">
        <f t="shared" si="2"/>
        <v>0</v>
      </c>
      <c r="M21" s="218">
        <v>64859</v>
      </c>
      <c r="N21" s="218">
        <f t="shared" si="2"/>
        <v>0</v>
      </c>
      <c r="O21" s="218">
        <v>447</v>
      </c>
      <c r="P21" s="218">
        <f t="shared" si="2"/>
        <v>0</v>
      </c>
      <c r="Q21" s="218">
        <v>15794</v>
      </c>
      <c r="R21" s="218">
        <f t="shared" si="2"/>
        <v>0</v>
      </c>
      <c r="S21" s="28"/>
      <c r="AE21" s="30"/>
    </row>
    <row r="22" spans="1:31" s="29" customFormat="1" ht="19.5" customHeight="1">
      <c r="A22" s="32" t="s">
        <v>434</v>
      </c>
      <c r="B22" s="132" t="s">
        <v>433</v>
      </c>
      <c r="C22" s="218">
        <f>D22+Q22</f>
        <v>182031.91999999998</v>
      </c>
      <c r="D22" s="218">
        <f>SUM(E22:O22)</f>
        <v>165545.47999999998</v>
      </c>
      <c r="E22" s="218">
        <v>98212.84</v>
      </c>
      <c r="F22" s="218">
        <v>0</v>
      </c>
      <c r="G22" s="218">
        <v>239.32</v>
      </c>
      <c r="H22" s="218">
        <v>1572.03</v>
      </c>
      <c r="I22" s="218">
        <v>0</v>
      </c>
      <c r="J22" s="218">
        <v>982.93</v>
      </c>
      <c r="K22" s="218">
        <v>0</v>
      </c>
      <c r="L22" s="218">
        <v>0</v>
      </c>
      <c r="M22" s="218">
        <v>62368.09</v>
      </c>
      <c r="N22" s="218">
        <v>0</v>
      </c>
      <c r="O22" s="218">
        <v>2170.27</v>
      </c>
      <c r="P22" s="218">
        <v>0</v>
      </c>
      <c r="Q22" s="218">
        <v>16486.44</v>
      </c>
      <c r="R22" s="218">
        <v>0</v>
      </c>
      <c r="S22" s="28"/>
      <c r="AE22" s="30"/>
    </row>
    <row r="23" spans="1:31" s="29" customFormat="1" ht="19.5" customHeight="1">
      <c r="A23" s="247" t="s">
        <v>441</v>
      </c>
      <c r="B23" s="248" t="s">
        <v>442</v>
      </c>
      <c r="C23" s="249">
        <f>SUM(D23,Q23)</f>
        <v>170303</v>
      </c>
      <c r="D23" s="249">
        <v>140648</v>
      </c>
      <c r="E23" s="249">
        <v>95938</v>
      </c>
      <c r="F23" s="218">
        <f>SUM(F30:F41)</f>
        <v>0</v>
      </c>
      <c r="G23" s="249">
        <v>53</v>
      </c>
      <c r="H23" s="249">
        <v>2214</v>
      </c>
      <c r="I23" s="218">
        <f>SUM(I30:I41)</f>
        <v>0</v>
      </c>
      <c r="J23" s="249">
        <v>473</v>
      </c>
      <c r="K23" s="218">
        <f>SUM(K30:K41)</f>
        <v>19.552</v>
      </c>
      <c r="L23" s="218">
        <f>SUM(L30:L41)</f>
        <v>0</v>
      </c>
      <c r="M23" s="249">
        <v>38589</v>
      </c>
      <c r="N23" s="244">
        <f>SUM(N30:N41)</f>
        <v>0</v>
      </c>
      <c r="O23" s="249">
        <v>3381</v>
      </c>
      <c r="P23" s="218">
        <f>SUM(P30:P41)</f>
        <v>0</v>
      </c>
      <c r="Q23" s="249">
        <v>29655</v>
      </c>
      <c r="R23" s="218">
        <f>SUM(R30:R41)</f>
        <v>0</v>
      </c>
      <c r="S23" s="28"/>
      <c r="AE23" s="30"/>
    </row>
    <row r="24" spans="1:31" s="29" customFormat="1" ht="19.5" customHeight="1">
      <c r="A24" s="247" t="s">
        <v>460</v>
      </c>
      <c r="B24" s="248" t="s">
        <v>461</v>
      </c>
      <c r="C24" s="249">
        <f>D24+Q24+R24</f>
        <v>158434.94</v>
      </c>
      <c r="D24" s="249">
        <f>SUM(E24:P24)</f>
        <v>146161.65</v>
      </c>
      <c r="E24" s="249">
        <v>98761.26</v>
      </c>
      <c r="F24" s="218">
        <v>0</v>
      </c>
      <c r="G24" s="249">
        <v>178.21</v>
      </c>
      <c r="H24" s="249">
        <v>1168.31</v>
      </c>
      <c r="I24" s="218">
        <v>0</v>
      </c>
      <c r="J24" s="249">
        <v>453.68</v>
      </c>
      <c r="K24" s="218">
        <v>0</v>
      </c>
      <c r="L24" s="218">
        <v>0</v>
      </c>
      <c r="M24" s="249">
        <v>42528.04</v>
      </c>
      <c r="N24" s="244">
        <v>0</v>
      </c>
      <c r="O24" s="249">
        <v>3072.15</v>
      </c>
      <c r="P24" s="218">
        <v>0</v>
      </c>
      <c r="Q24" s="249">
        <v>12273.29</v>
      </c>
      <c r="R24" s="217">
        <v>0</v>
      </c>
      <c r="S24" s="28"/>
      <c r="AE24" s="30"/>
    </row>
    <row r="25" spans="1:31" s="29" customFormat="1" ht="19.5" customHeight="1">
      <c r="A25" s="247" t="s">
        <v>466</v>
      </c>
      <c r="B25" s="248" t="s">
        <v>467</v>
      </c>
      <c r="C25" s="249">
        <f>D25+Q25+R25</f>
        <v>216216.56</v>
      </c>
      <c r="D25" s="249">
        <f>SUM(E25:P25)</f>
        <v>175962.07</v>
      </c>
      <c r="E25" s="249">
        <v>120450.13</v>
      </c>
      <c r="F25" s="218">
        <v>0</v>
      </c>
      <c r="G25" s="249">
        <v>580.14</v>
      </c>
      <c r="H25" s="249">
        <v>1299.15</v>
      </c>
      <c r="I25" s="244">
        <v>0</v>
      </c>
      <c r="J25" s="249">
        <v>820.42</v>
      </c>
      <c r="K25" s="218">
        <v>0</v>
      </c>
      <c r="L25" s="218">
        <v>0</v>
      </c>
      <c r="M25" s="249">
        <v>52014.23</v>
      </c>
      <c r="N25" s="244">
        <v>0</v>
      </c>
      <c r="O25" s="249">
        <v>798</v>
      </c>
      <c r="P25" s="244">
        <v>0</v>
      </c>
      <c r="Q25" s="249">
        <v>40254.49</v>
      </c>
      <c r="R25" s="218">
        <v>0</v>
      </c>
      <c r="S25" s="28"/>
      <c r="AE25" s="30"/>
    </row>
    <row r="26" spans="1:31" s="258" customFormat="1" ht="19.5" customHeight="1">
      <c r="A26" s="247" t="s">
        <v>502</v>
      </c>
      <c r="B26" s="248">
        <v>2016</v>
      </c>
      <c r="C26" s="249">
        <f>D26+Q26+R26</f>
        <v>209949.352</v>
      </c>
      <c r="D26" s="249">
        <f>SUM(E26:P26)</f>
        <v>194907.782</v>
      </c>
      <c r="E26" s="249">
        <v>125137.57</v>
      </c>
      <c r="F26" s="266">
        <f>SUM(F30:F41)</f>
        <v>0</v>
      </c>
      <c r="G26" s="249">
        <v>295.87</v>
      </c>
      <c r="H26" s="249">
        <v>1105.08</v>
      </c>
      <c r="I26" s="267">
        <f>SUM(I30:I41)</f>
        <v>0</v>
      </c>
      <c r="J26" s="249">
        <v>292.85</v>
      </c>
      <c r="K26" s="266">
        <f>SUM(K30:K41)</f>
        <v>19.552</v>
      </c>
      <c r="L26" s="266">
        <f>SUM(L30:L41)</f>
        <v>0</v>
      </c>
      <c r="M26" s="249">
        <v>63496.6</v>
      </c>
      <c r="N26" s="267">
        <f>SUM(N30:N41)</f>
        <v>0</v>
      </c>
      <c r="O26" s="249">
        <v>4560.26</v>
      </c>
      <c r="P26" s="267">
        <f>SUM(P30:P41)</f>
        <v>0</v>
      </c>
      <c r="Q26" s="249">
        <v>15041.57</v>
      </c>
      <c r="R26" s="266">
        <f>SUM(R30:R41)</f>
        <v>0</v>
      </c>
      <c r="S26" s="251"/>
      <c r="AE26" s="253"/>
    </row>
    <row r="27" spans="1:31" s="258" customFormat="1" ht="19.5" customHeight="1">
      <c r="A27" s="247" t="s">
        <v>503</v>
      </c>
      <c r="B27" s="248">
        <v>2017</v>
      </c>
      <c r="C27" s="249">
        <f>D27+Q27+R27</f>
        <v>308278</v>
      </c>
      <c r="D27" s="249">
        <f>SUM(E27:P27)</f>
        <v>276629</v>
      </c>
      <c r="E27" s="249">
        <v>129066</v>
      </c>
      <c r="F27" s="266"/>
      <c r="G27" s="249">
        <v>472</v>
      </c>
      <c r="H27" s="249">
        <v>913</v>
      </c>
      <c r="I27" s="267"/>
      <c r="J27" s="249">
        <v>202</v>
      </c>
      <c r="K27" s="266">
        <v>2</v>
      </c>
      <c r="L27" s="266"/>
      <c r="M27" s="249">
        <v>118180</v>
      </c>
      <c r="N27" s="267"/>
      <c r="O27" s="249">
        <v>27794</v>
      </c>
      <c r="P27" s="267"/>
      <c r="Q27" s="249">
        <v>31649</v>
      </c>
      <c r="R27" s="266"/>
      <c r="S27" s="251"/>
      <c r="AE27" s="253"/>
    </row>
    <row r="28" spans="1:31" s="258" customFormat="1" ht="19.5" customHeight="1">
      <c r="A28" s="247" t="s">
        <v>509</v>
      </c>
      <c r="B28" s="248">
        <v>2018</v>
      </c>
      <c r="C28" s="249">
        <f>D28+Q28+R28</f>
        <v>277693</v>
      </c>
      <c r="D28" s="249">
        <f>SUM(E28:P28)</f>
        <v>215772</v>
      </c>
      <c r="E28" s="249">
        <v>145132</v>
      </c>
      <c r="F28" s="266">
        <v>0</v>
      </c>
      <c r="G28" s="249">
        <v>1762</v>
      </c>
      <c r="H28" s="249">
        <v>766</v>
      </c>
      <c r="I28" s="267">
        <v>0</v>
      </c>
      <c r="J28" s="249">
        <v>182</v>
      </c>
      <c r="K28" s="266">
        <v>2</v>
      </c>
      <c r="L28" s="266">
        <v>0</v>
      </c>
      <c r="M28" s="249">
        <v>65058</v>
      </c>
      <c r="N28" s="267">
        <v>0</v>
      </c>
      <c r="O28" s="249">
        <v>2870</v>
      </c>
      <c r="P28" s="267">
        <v>0</v>
      </c>
      <c r="Q28" s="249">
        <v>61921</v>
      </c>
      <c r="R28" s="266"/>
      <c r="S28" s="251"/>
      <c r="AE28" s="253"/>
    </row>
    <row r="29" spans="1:31" s="258" customFormat="1" ht="19.5" customHeight="1">
      <c r="A29" s="247" t="s">
        <v>520</v>
      </c>
      <c r="B29" s="248">
        <v>2019</v>
      </c>
      <c r="C29" s="249">
        <f>SUM(C30:C42)</f>
        <v>287109.179</v>
      </c>
      <c r="D29" s="249">
        <f>SUM(D30:D42)</f>
        <v>259055.72400000005</v>
      </c>
      <c r="E29" s="249">
        <f>SUM(E30:E41)</f>
        <v>140278.44</v>
      </c>
      <c r="F29" s="218">
        <f aca="true" t="shared" si="3" ref="F29:R29">SUM(F31:F42)</f>
        <v>0</v>
      </c>
      <c r="G29" s="249">
        <f>SUM(G30:G42)</f>
        <v>234.16000000000003</v>
      </c>
      <c r="H29" s="249">
        <f>SUM(H30:H42)</f>
        <v>1117.8400000000001</v>
      </c>
      <c r="I29" s="244">
        <f t="shared" si="3"/>
        <v>0</v>
      </c>
      <c r="J29" s="249">
        <f>SUM(J30:J42)</f>
        <v>281.908</v>
      </c>
      <c r="K29" s="218">
        <f t="shared" si="3"/>
        <v>19.552</v>
      </c>
      <c r="L29" s="218">
        <f t="shared" si="3"/>
        <v>0</v>
      </c>
      <c r="M29" s="249">
        <f>SUM(M30:M42)</f>
        <v>113421.10699999999</v>
      </c>
      <c r="N29" s="244">
        <f t="shared" si="3"/>
        <v>0</v>
      </c>
      <c r="O29" s="249">
        <f>SUM(O30:O42)</f>
        <v>3702.7169999999996</v>
      </c>
      <c r="P29" s="244">
        <f t="shared" si="3"/>
        <v>0</v>
      </c>
      <c r="Q29" s="249">
        <f>SUM(Q30:Q42)</f>
        <v>28053.454999999994</v>
      </c>
      <c r="R29" s="218">
        <f t="shared" si="3"/>
        <v>0</v>
      </c>
      <c r="S29" s="251"/>
      <c r="AE29" s="253"/>
    </row>
    <row r="30" spans="1:31" s="252" customFormat="1" ht="19.5" customHeight="1">
      <c r="A30" s="247" t="s">
        <v>19</v>
      </c>
      <c r="B30" s="250" t="s">
        <v>101</v>
      </c>
      <c r="C30" s="243">
        <f>SUM(D30,Q30,R30)</f>
        <v>21888.686</v>
      </c>
      <c r="D30" s="244">
        <f aca="true" t="shared" si="4" ref="D30:D40">SUM(E30:P30)</f>
        <v>21888.686</v>
      </c>
      <c r="E30" s="244">
        <v>19311.752</v>
      </c>
      <c r="F30" s="244">
        <v>0</v>
      </c>
      <c r="G30" s="244">
        <v>103.748</v>
      </c>
      <c r="H30" s="244">
        <v>89.04</v>
      </c>
      <c r="I30" s="244">
        <v>0</v>
      </c>
      <c r="J30" s="244">
        <v>115.609</v>
      </c>
      <c r="K30" s="244">
        <v>0</v>
      </c>
      <c r="L30" s="244">
        <v>0</v>
      </c>
      <c r="M30" s="244">
        <v>1404.558</v>
      </c>
      <c r="N30" s="244">
        <v>0</v>
      </c>
      <c r="O30" s="244">
        <v>863.979</v>
      </c>
      <c r="P30" s="244">
        <v>0</v>
      </c>
      <c r="Q30" s="244">
        <v>0</v>
      </c>
      <c r="R30" s="243">
        <v>0</v>
      </c>
      <c r="S30" s="251"/>
      <c r="AE30" s="253"/>
    </row>
    <row r="31" spans="1:31" s="252" customFormat="1" ht="19.5" customHeight="1">
      <c r="A31" s="247" t="s">
        <v>20</v>
      </c>
      <c r="B31" s="250" t="s">
        <v>102</v>
      </c>
      <c r="C31" s="243">
        <f>SUM(D31,Q31,R31)</f>
        <v>14205.010999999999</v>
      </c>
      <c r="D31" s="244">
        <f t="shared" si="4"/>
        <v>10195.815999999999</v>
      </c>
      <c r="E31" s="244">
        <v>10661.955</v>
      </c>
      <c r="F31" s="244">
        <v>0</v>
      </c>
      <c r="G31" s="244">
        <v>38.866</v>
      </c>
      <c r="H31" s="244">
        <v>51.56</v>
      </c>
      <c r="I31" s="244">
        <v>0</v>
      </c>
      <c r="J31" s="244">
        <v>0.4</v>
      </c>
      <c r="K31" s="244">
        <v>13.355</v>
      </c>
      <c r="L31" s="244">
        <v>0</v>
      </c>
      <c r="M31" s="244">
        <v>0</v>
      </c>
      <c r="N31" s="244">
        <v>0</v>
      </c>
      <c r="O31" s="244">
        <v>-570.32</v>
      </c>
      <c r="P31" s="244">
        <v>0</v>
      </c>
      <c r="Q31" s="244">
        <v>4009.195</v>
      </c>
      <c r="R31" s="243">
        <v>0</v>
      </c>
      <c r="S31" s="251"/>
      <c r="AE31" s="253"/>
    </row>
    <row r="32" spans="1:31" s="252" customFormat="1" ht="19.5" customHeight="1">
      <c r="A32" s="247" t="s">
        <v>21</v>
      </c>
      <c r="B32" s="250" t="s">
        <v>103</v>
      </c>
      <c r="C32" s="243">
        <f>SUM(D32,Q32,R32)</f>
        <v>75128.703</v>
      </c>
      <c r="D32" s="244">
        <f t="shared" si="4"/>
        <v>55120.117</v>
      </c>
      <c r="E32" s="244">
        <v>11248.935</v>
      </c>
      <c r="F32" s="244">
        <v>0</v>
      </c>
      <c r="G32" s="244">
        <v>3.312</v>
      </c>
      <c r="H32" s="244">
        <v>141.88</v>
      </c>
      <c r="I32" s="244"/>
      <c r="J32" s="244">
        <v>22.2</v>
      </c>
      <c r="K32" s="244">
        <v>0</v>
      </c>
      <c r="L32" s="244">
        <v>0</v>
      </c>
      <c r="M32" s="244">
        <v>43394.169</v>
      </c>
      <c r="N32" s="244">
        <v>0</v>
      </c>
      <c r="O32" s="244">
        <v>309.621</v>
      </c>
      <c r="P32" s="244">
        <v>0</v>
      </c>
      <c r="Q32" s="244">
        <v>20008.586</v>
      </c>
      <c r="R32" s="243">
        <v>0</v>
      </c>
      <c r="S32" s="251"/>
      <c r="AE32" s="253"/>
    </row>
    <row r="33" spans="1:31" s="252" customFormat="1" ht="19.5" customHeight="1">
      <c r="A33" s="247" t="s">
        <v>22</v>
      </c>
      <c r="B33" s="250" t="s">
        <v>104</v>
      </c>
      <c r="C33" s="243">
        <f>SUM(D33,Q33,R33)</f>
        <v>9440.905999999999</v>
      </c>
      <c r="D33" s="244">
        <f t="shared" si="4"/>
        <v>8003.906</v>
      </c>
      <c r="E33" s="244">
        <v>10657.475</v>
      </c>
      <c r="F33" s="244">
        <v>0</v>
      </c>
      <c r="G33" s="244">
        <v>11.472</v>
      </c>
      <c r="H33" s="244">
        <v>150.309</v>
      </c>
      <c r="I33" s="244">
        <v>0</v>
      </c>
      <c r="J33" s="244">
        <v>103.108</v>
      </c>
      <c r="K33" s="244">
        <v>0</v>
      </c>
      <c r="L33" s="244">
        <v>0</v>
      </c>
      <c r="M33" s="244">
        <v>-3128.634</v>
      </c>
      <c r="N33" s="244">
        <v>0</v>
      </c>
      <c r="O33" s="244">
        <v>210.176</v>
      </c>
      <c r="P33" s="244">
        <v>0</v>
      </c>
      <c r="Q33" s="244">
        <v>1437</v>
      </c>
      <c r="R33" s="243">
        <v>0</v>
      </c>
      <c r="S33" s="251"/>
      <c r="AE33" s="253"/>
    </row>
    <row r="34" spans="1:31" s="252" customFormat="1" ht="19.5" customHeight="1">
      <c r="A34" s="247" t="s">
        <v>23</v>
      </c>
      <c r="B34" s="250" t="s">
        <v>105</v>
      </c>
      <c r="C34" s="243">
        <f aca="true" t="shared" si="5" ref="C34:C41">SUM(D34,Q34,R34)</f>
        <v>15708.636</v>
      </c>
      <c r="D34" s="244">
        <f t="shared" si="4"/>
        <v>14598.768</v>
      </c>
      <c r="E34" s="244">
        <v>10852.124</v>
      </c>
      <c r="F34" s="244">
        <v>0</v>
      </c>
      <c r="G34" s="244">
        <v>43.606</v>
      </c>
      <c r="H34" s="244">
        <v>71.816</v>
      </c>
      <c r="I34" s="244">
        <v>0</v>
      </c>
      <c r="J34" s="244">
        <v>0</v>
      </c>
      <c r="K34" s="244">
        <v>0</v>
      </c>
      <c r="L34" s="244">
        <v>0</v>
      </c>
      <c r="M34" s="244">
        <v>3337.42</v>
      </c>
      <c r="N34" s="244">
        <v>0</v>
      </c>
      <c r="O34" s="244">
        <v>293.802</v>
      </c>
      <c r="P34" s="244">
        <v>0</v>
      </c>
      <c r="Q34" s="244">
        <v>1109.868</v>
      </c>
      <c r="R34" s="244">
        <v>0</v>
      </c>
      <c r="S34" s="251"/>
      <c r="AE34" s="253"/>
    </row>
    <row r="35" spans="1:19" s="252" customFormat="1" ht="19.5" customHeight="1">
      <c r="A35" s="247" t="s">
        <v>24</v>
      </c>
      <c r="B35" s="250" t="s">
        <v>106</v>
      </c>
      <c r="C35" s="243">
        <f t="shared" si="5"/>
        <v>14675.365999999998</v>
      </c>
      <c r="D35" s="244">
        <f t="shared" si="4"/>
        <v>14535.136999999999</v>
      </c>
      <c r="E35" s="244">
        <v>11678.635</v>
      </c>
      <c r="F35" s="244">
        <v>0</v>
      </c>
      <c r="G35" s="244">
        <v>-1.599</v>
      </c>
      <c r="H35" s="244">
        <v>119.578</v>
      </c>
      <c r="I35" s="244">
        <v>0</v>
      </c>
      <c r="J35" s="244">
        <v>17.515</v>
      </c>
      <c r="K35" s="244">
        <v>0</v>
      </c>
      <c r="L35" s="243">
        <v>0</v>
      </c>
      <c r="M35" s="244">
        <v>2496.183</v>
      </c>
      <c r="N35" s="244">
        <v>0</v>
      </c>
      <c r="O35" s="244">
        <v>224.825</v>
      </c>
      <c r="P35" s="244">
        <v>0</v>
      </c>
      <c r="Q35" s="244">
        <v>140.229</v>
      </c>
      <c r="R35" s="244">
        <v>0</v>
      </c>
      <c r="S35" s="251"/>
    </row>
    <row r="36" spans="1:31" s="252" customFormat="1" ht="19.5" customHeight="1">
      <c r="A36" s="259" t="s">
        <v>14</v>
      </c>
      <c r="B36" s="250" t="s">
        <v>107</v>
      </c>
      <c r="C36" s="243">
        <f t="shared" si="5"/>
        <v>21169.568000000003</v>
      </c>
      <c r="D36" s="244">
        <f t="shared" si="4"/>
        <v>21329.868000000002</v>
      </c>
      <c r="E36" s="244">
        <v>10668.763</v>
      </c>
      <c r="F36" s="244">
        <v>0</v>
      </c>
      <c r="G36" s="244">
        <v>6.838</v>
      </c>
      <c r="H36" s="244">
        <v>195.734</v>
      </c>
      <c r="I36" s="244">
        <v>0</v>
      </c>
      <c r="J36" s="244">
        <v>3.13</v>
      </c>
      <c r="K36" s="244">
        <v>0</v>
      </c>
      <c r="L36" s="244">
        <v>0</v>
      </c>
      <c r="M36" s="244">
        <v>10248.691</v>
      </c>
      <c r="N36" s="244">
        <v>0</v>
      </c>
      <c r="O36" s="244">
        <v>206.712</v>
      </c>
      <c r="P36" s="244">
        <v>0</v>
      </c>
      <c r="Q36" s="244">
        <v>-160.3</v>
      </c>
      <c r="R36" s="244">
        <v>0</v>
      </c>
      <c r="S36" s="251"/>
      <c r="AE36" s="253"/>
    </row>
    <row r="37" spans="1:31" s="252" customFormat="1" ht="19.5" customHeight="1">
      <c r="A37" s="247" t="s">
        <v>15</v>
      </c>
      <c r="B37" s="250" t="s">
        <v>108</v>
      </c>
      <c r="C37" s="243">
        <f t="shared" si="5"/>
        <v>12689.591999999999</v>
      </c>
      <c r="D37" s="244">
        <f t="shared" si="4"/>
        <v>12502.920999999998</v>
      </c>
      <c r="E37" s="244">
        <v>10667.873</v>
      </c>
      <c r="F37" s="244">
        <v>0</v>
      </c>
      <c r="G37" s="244">
        <v>-3.242</v>
      </c>
      <c r="H37" s="244">
        <v>70.71</v>
      </c>
      <c r="I37" s="244">
        <v>0</v>
      </c>
      <c r="J37" s="244">
        <v>0</v>
      </c>
      <c r="K37" s="244">
        <v>0</v>
      </c>
      <c r="L37" s="244">
        <v>0</v>
      </c>
      <c r="M37" s="244">
        <v>1760.771</v>
      </c>
      <c r="N37" s="244">
        <v>0</v>
      </c>
      <c r="O37" s="244">
        <v>6.809</v>
      </c>
      <c r="P37" s="244">
        <v>0</v>
      </c>
      <c r="Q37" s="244">
        <v>186.671</v>
      </c>
      <c r="R37" s="244">
        <v>0</v>
      </c>
      <c r="S37" s="251"/>
      <c r="AE37" s="253"/>
    </row>
    <row r="38" spans="1:31" s="252" customFormat="1" ht="19.5" customHeight="1">
      <c r="A38" s="247" t="s">
        <v>16</v>
      </c>
      <c r="B38" s="250" t="s">
        <v>109</v>
      </c>
      <c r="C38" s="243">
        <f t="shared" si="5"/>
        <v>1593.594</v>
      </c>
      <c r="D38" s="244">
        <f t="shared" si="4"/>
        <v>1593.594</v>
      </c>
      <c r="E38" s="244">
        <v>907.008</v>
      </c>
      <c r="F38" s="244">
        <v>0</v>
      </c>
      <c r="G38" s="244">
        <v>7.538</v>
      </c>
      <c r="H38" s="244">
        <v>12.26</v>
      </c>
      <c r="I38" s="244">
        <v>0</v>
      </c>
      <c r="J38" s="244">
        <v>0</v>
      </c>
      <c r="K38" s="244">
        <v>6.197</v>
      </c>
      <c r="L38" s="244">
        <v>0</v>
      </c>
      <c r="M38" s="244">
        <v>0</v>
      </c>
      <c r="N38" s="244">
        <v>0</v>
      </c>
      <c r="O38" s="244">
        <v>660.591</v>
      </c>
      <c r="P38" s="244">
        <v>0</v>
      </c>
      <c r="Q38" s="244">
        <v>0</v>
      </c>
      <c r="R38" s="244">
        <v>0</v>
      </c>
      <c r="S38" s="251"/>
      <c r="AE38" s="253"/>
    </row>
    <row r="39" spans="1:31" s="252" customFormat="1" ht="19.5" customHeight="1">
      <c r="A39" s="247" t="s">
        <v>17</v>
      </c>
      <c r="B39" s="250" t="s">
        <v>110</v>
      </c>
      <c r="C39" s="243">
        <f t="shared" si="5"/>
        <v>25232.851</v>
      </c>
      <c r="D39" s="244">
        <f t="shared" si="4"/>
        <v>25133.154</v>
      </c>
      <c r="E39" s="244">
        <v>21308.343</v>
      </c>
      <c r="F39" s="244">
        <v>0</v>
      </c>
      <c r="G39" s="244">
        <v>5.916</v>
      </c>
      <c r="H39" s="244">
        <v>50.1</v>
      </c>
      <c r="I39" s="244">
        <v>0</v>
      </c>
      <c r="J39" s="244">
        <v>0</v>
      </c>
      <c r="K39" s="244">
        <v>0</v>
      </c>
      <c r="L39" s="244">
        <v>0</v>
      </c>
      <c r="M39" s="244">
        <v>3468.69</v>
      </c>
      <c r="N39" s="244">
        <v>0</v>
      </c>
      <c r="O39" s="244">
        <v>300.105</v>
      </c>
      <c r="P39" s="244">
        <v>0</v>
      </c>
      <c r="Q39" s="244">
        <v>99.697</v>
      </c>
      <c r="R39" s="244">
        <v>0</v>
      </c>
      <c r="S39" s="251"/>
      <c r="AE39" s="253"/>
    </row>
    <row r="40" spans="1:31" s="252" customFormat="1" ht="19.5" customHeight="1">
      <c r="A40" s="247" t="s">
        <v>18</v>
      </c>
      <c r="B40" s="250" t="s">
        <v>111</v>
      </c>
      <c r="C40" s="243">
        <f t="shared" si="5"/>
        <v>12596.513</v>
      </c>
      <c r="D40" s="244">
        <f t="shared" si="4"/>
        <v>12596.513</v>
      </c>
      <c r="E40" s="244">
        <v>10721.721</v>
      </c>
      <c r="F40" s="244">
        <v>0</v>
      </c>
      <c r="G40" s="244">
        <v>0.748</v>
      </c>
      <c r="H40" s="244">
        <v>79.316</v>
      </c>
      <c r="I40" s="244">
        <v>0</v>
      </c>
      <c r="J40" s="244">
        <v>0</v>
      </c>
      <c r="K40" s="244">
        <v>0</v>
      </c>
      <c r="L40" s="244">
        <v>0</v>
      </c>
      <c r="M40" s="244">
        <v>1400.225</v>
      </c>
      <c r="N40" s="244">
        <v>0</v>
      </c>
      <c r="O40" s="244">
        <v>394.503</v>
      </c>
      <c r="P40" s="244">
        <v>0</v>
      </c>
      <c r="Q40" s="244">
        <v>0</v>
      </c>
      <c r="R40" s="244">
        <v>0</v>
      </c>
      <c r="S40" s="251"/>
      <c r="AE40" s="253"/>
    </row>
    <row r="41" spans="1:31" s="252" customFormat="1" ht="19.5" customHeight="1">
      <c r="A41" s="247" t="s">
        <v>52</v>
      </c>
      <c r="B41" s="250" t="s">
        <v>112</v>
      </c>
      <c r="C41" s="243">
        <f t="shared" si="5"/>
        <v>62779.753</v>
      </c>
      <c r="D41" s="244">
        <f>SUM(E41:P41)</f>
        <v>61557.244</v>
      </c>
      <c r="E41" s="244">
        <v>11593.856</v>
      </c>
      <c r="F41" s="244">
        <v>0</v>
      </c>
      <c r="G41" s="244">
        <v>16.957</v>
      </c>
      <c r="H41" s="244">
        <v>85.537</v>
      </c>
      <c r="I41" s="244">
        <v>0</v>
      </c>
      <c r="J41" s="244">
        <v>19.946</v>
      </c>
      <c r="K41" s="244">
        <v>0</v>
      </c>
      <c r="L41" s="244">
        <v>0</v>
      </c>
      <c r="M41" s="244">
        <v>49039.034</v>
      </c>
      <c r="N41" s="244">
        <v>0</v>
      </c>
      <c r="O41" s="244">
        <v>801.914</v>
      </c>
      <c r="P41" s="244">
        <v>0</v>
      </c>
      <c r="Q41" s="244">
        <v>1222.509</v>
      </c>
      <c r="R41" s="244">
        <v>0</v>
      </c>
      <c r="S41" s="251"/>
      <c r="AE41" s="253"/>
    </row>
    <row r="42" spans="1:19" s="31" customFormat="1" ht="6" customHeight="1" thickBot="1">
      <c r="A42" s="127"/>
      <c r="B42" s="33"/>
      <c r="C42" s="129"/>
      <c r="D42" s="35"/>
      <c r="E42" s="35"/>
      <c r="F42" s="2"/>
      <c r="G42" s="2"/>
      <c r="H42" s="35"/>
      <c r="I42" s="2"/>
      <c r="J42" s="35"/>
      <c r="K42" s="2"/>
      <c r="L42" s="2"/>
      <c r="M42" s="35"/>
      <c r="N42" s="2"/>
      <c r="O42" s="35"/>
      <c r="P42" s="2"/>
      <c r="Q42" s="2"/>
      <c r="R42" s="2"/>
      <c r="S42" s="28"/>
    </row>
    <row r="43" spans="1:18" ht="17.25" customHeight="1">
      <c r="A43" s="255" t="s">
        <v>453</v>
      </c>
      <c r="B43" s="36"/>
      <c r="C43" s="11"/>
      <c r="D43" s="11"/>
      <c r="E43" s="26"/>
      <c r="F43" s="11"/>
      <c r="G43" s="11"/>
      <c r="H43" s="11"/>
      <c r="I43" s="11"/>
      <c r="J43" s="11"/>
      <c r="K43" s="11"/>
      <c r="L43" s="37"/>
      <c r="M43" s="11"/>
      <c r="N43" s="11"/>
      <c r="O43" s="11"/>
      <c r="P43" s="11"/>
      <c r="Q43" s="37"/>
      <c r="R43" s="37"/>
    </row>
    <row r="44" spans="1:5" ht="13.5" customHeight="1">
      <c r="A44" s="255" t="s">
        <v>452</v>
      </c>
      <c r="B44" s="38"/>
      <c r="E44" s="26"/>
    </row>
    <row r="45" spans="1:5" ht="15.75">
      <c r="A45" s="27"/>
      <c r="E45" s="26"/>
    </row>
    <row r="46" ht="15.75">
      <c r="E46" s="26" t="s">
        <v>517</v>
      </c>
    </row>
    <row r="47" ht="15.75">
      <c r="E47" s="26"/>
    </row>
    <row r="48" ht="15.75">
      <c r="E48" s="26"/>
    </row>
    <row r="49" ht="15.75">
      <c r="E49" s="26"/>
    </row>
    <row r="50" ht="15.75">
      <c r="E50" s="26"/>
    </row>
    <row r="51" ht="15.75">
      <c r="E51" s="26"/>
    </row>
    <row r="52" ht="15.75">
      <c r="E52" s="26"/>
    </row>
    <row r="53" ht="15.75">
      <c r="E53" s="26"/>
    </row>
    <row r="54" ht="15.75">
      <c r="E54" s="26"/>
    </row>
    <row r="55" ht="15.75">
      <c r="E55" s="26"/>
    </row>
    <row r="56" ht="15.75">
      <c r="E56" s="26"/>
    </row>
    <row r="57" ht="15.75">
      <c r="E57" s="26"/>
    </row>
    <row r="58" ht="15.75">
      <c r="E58" s="26"/>
    </row>
    <row r="59" ht="15.75">
      <c r="E59" s="26"/>
    </row>
    <row r="60" ht="15.75">
      <c r="E60" s="26"/>
    </row>
    <row r="61" ht="15.75">
      <c r="E61" s="26"/>
    </row>
    <row r="62" ht="15.75">
      <c r="E62" s="26"/>
    </row>
    <row r="63" ht="15.75">
      <c r="E63" s="26"/>
    </row>
    <row r="64" ht="15.75">
      <c r="E64" s="26"/>
    </row>
    <row r="65" ht="15.75">
      <c r="E65" s="26"/>
    </row>
    <row r="66" ht="15.75">
      <c r="E66" s="26"/>
    </row>
    <row r="67" ht="15.75">
      <c r="E67" s="26"/>
    </row>
    <row r="68" ht="15.75">
      <c r="E68" s="26"/>
    </row>
    <row r="69" ht="15.75">
      <c r="E69" s="26"/>
    </row>
    <row r="70" ht="15.75">
      <c r="E70" s="26"/>
    </row>
    <row r="71" ht="15.75">
      <c r="E71" s="26"/>
    </row>
    <row r="72" ht="15.75">
      <c r="E72" s="26"/>
    </row>
    <row r="73" ht="15.75">
      <c r="E73" s="26"/>
    </row>
    <row r="74" ht="15.75">
      <c r="E74" s="26"/>
    </row>
    <row r="75" ht="15.75">
      <c r="E75" s="26"/>
    </row>
    <row r="76" ht="15.75">
      <c r="E76" s="26"/>
    </row>
    <row r="77" ht="15.75">
      <c r="E77" s="26"/>
    </row>
    <row r="78" ht="15.75">
      <c r="E78" s="26"/>
    </row>
    <row r="79" ht="15.75">
      <c r="E79" s="26"/>
    </row>
    <row r="80" ht="15.75">
      <c r="E80" s="26"/>
    </row>
    <row r="81" ht="15.75">
      <c r="E81" s="26"/>
    </row>
    <row r="82" ht="15.75">
      <c r="E82" s="26"/>
    </row>
    <row r="83" ht="15.75">
      <c r="E83" s="26"/>
    </row>
    <row r="84" ht="15.75">
      <c r="E84" s="26"/>
    </row>
    <row r="85" ht="15.75">
      <c r="E85" s="26"/>
    </row>
    <row r="86" ht="15.75">
      <c r="E86" s="26"/>
    </row>
    <row r="87" ht="15.75">
      <c r="E87" s="26"/>
    </row>
    <row r="88" ht="15.75">
      <c r="E88" s="26"/>
    </row>
    <row r="89" ht="15.75">
      <c r="E89" s="26"/>
    </row>
    <row r="90" ht="15.75">
      <c r="E90" s="26"/>
    </row>
    <row r="91" ht="15.75">
      <c r="E91" s="26"/>
    </row>
  </sheetData>
  <sheetProtection/>
  <mergeCells count="33">
    <mergeCell ref="R9:R10"/>
    <mergeCell ref="L9:L10"/>
    <mergeCell ref="M9:M10"/>
    <mergeCell ref="N9:N10"/>
    <mergeCell ref="O9:O10"/>
    <mergeCell ref="I9:I10"/>
    <mergeCell ref="Q6:Q8"/>
    <mergeCell ref="O7:O8"/>
    <mergeCell ref="P7:P8"/>
    <mergeCell ref="J8:K8"/>
    <mergeCell ref="L7:L8"/>
    <mergeCell ref="F9:F10"/>
    <mergeCell ref="G9:G10"/>
    <mergeCell ref="H9:H10"/>
    <mergeCell ref="Q1:R1"/>
    <mergeCell ref="R6:R8"/>
    <mergeCell ref="A6:B8"/>
    <mergeCell ref="A9:B10"/>
    <mergeCell ref="C6:C8"/>
    <mergeCell ref="C9:C10"/>
    <mergeCell ref="Q9:Q10"/>
    <mergeCell ref="N7:N8"/>
    <mergeCell ref="E7:E8"/>
    <mergeCell ref="F7:F8"/>
    <mergeCell ref="D7:D8"/>
    <mergeCell ref="D9:D10"/>
    <mergeCell ref="E9:E10"/>
    <mergeCell ref="I7:I8"/>
    <mergeCell ref="M7:M8"/>
    <mergeCell ref="P9:P10"/>
    <mergeCell ref="G7:G8"/>
    <mergeCell ref="H7:H8"/>
    <mergeCell ref="J7:K7"/>
  </mergeCells>
  <printOptions/>
  <pageMargins left="0.7480314960629921" right="0.7480314960629921" top="0.5905511811023623" bottom="0.4724409448818898" header="0.5118110236220472" footer="0.236220472440944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7"/>
  <sheetViews>
    <sheetView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C29" sqref="C29"/>
    </sheetView>
  </sheetViews>
  <sheetFormatPr defaultColWidth="9.00390625" defaultRowHeight="16.5"/>
  <cols>
    <col min="1" max="1" width="12.375" style="65" customWidth="1"/>
    <col min="2" max="2" width="5.125" style="65" customWidth="1"/>
    <col min="3" max="3" width="9.75390625" style="65" customWidth="1"/>
    <col min="4" max="4" width="10.875" style="65" customWidth="1"/>
    <col min="5" max="5" width="9.375" style="65" customWidth="1"/>
    <col min="6" max="6" width="9.125" style="65" customWidth="1"/>
    <col min="7" max="7" width="8.625" style="65" customWidth="1"/>
    <col min="8" max="8" width="10.625" style="65" customWidth="1"/>
    <col min="9" max="9" width="9.75390625" style="65" customWidth="1"/>
    <col min="10" max="10" width="11.75390625" style="65" customWidth="1"/>
    <col min="11" max="11" width="11.00390625" style="65" customWidth="1"/>
    <col min="12" max="12" width="10.625" style="65" customWidth="1"/>
    <col min="13" max="13" width="11.125" style="65" customWidth="1"/>
    <col min="14" max="14" width="10.875" style="65" customWidth="1"/>
    <col min="15" max="15" width="11.875" style="65" customWidth="1"/>
    <col min="16" max="16" width="12.625" style="65" customWidth="1"/>
    <col min="17" max="16384" width="9.00390625" style="65" customWidth="1"/>
  </cols>
  <sheetData>
    <row r="1" spans="1:40" ht="15.75">
      <c r="A1" s="3" t="s">
        <v>489</v>
      </c>
      <c r="B1" s="3"/>
      <c r="C1" s="111"/>
      <c r="D1" s="78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3" t="s">
        <v>490</v>
      </c>
      <c r="Q1" s="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39" ht="23.25" customHeight="1">
      <c r="A2" s="112" t="s">
        <v>430</v>
      </c>
      <c r="B2" s="112"/>
      <c r="C2" s="112"/>
      <c r="D2" s="112"/>
      <c r="E2" s="112"/>
      <c r="F2" s="112"/>
      <c r="G2" s="112"/>
      <c r="H2" s="112"/>
      <c r="I2" s="113"/>
      <c r="J2" s="202" t="s">
        <v>431</v>
      </c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4.25" customHeight="1">
      <c r="A3" s="116" t="s">
        <v>230</v>
      </c>
      <c r="B3" s="116"/>
      <c r="C3" s="112"/>
      <c r="D3" s="112"/>
      <c r="E3" s="112"/>
      <c r="F3" s="112"/>
      <c r="G3" s="112"/>
      <c r="H3" s="112"/>
      <c r="I3" s="113"/>
      <c r="J3" s="116" t="s">
        <v>287</v>
      </c>
      <c r="K3" s="113"/>
      <c r="L3" s="113"/>
      <c r="M3" s="113"/>
      <c r="N3" s="112"/>
      <c r="O3" s="102"/>
      <c r="P3" s="102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4.25" customHeight="1" thickBot="1">
      <c r="A4" s="122" t="s">
        <v>204</v>
      </c>
      <c r="B4" s="122"/>
      <c r="C4" s="122"/>
      <c r="D4" s="122"/>
      <c r="E4" s="122"/>
      <c r="F4" s="122"/>
      <c r="G4" s="107"/>
      <c r="H4" s="107"/>
      <c r="I4" s="107"/>
      <c r="J4" s="107"/>
      <c r="K4" s="122"/>
      <c r="L4" s="122"/>
      <c r="M4" s="122"/>
      <c r="N4" s="122"/>
      <c r="O4" s="122"/>
      <c r="P4" s="144" t="s">
        <v>288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3.25" customHeight="1">
      <c r="A5" s="200" t="s">
        <v>1</v>
      </c>
      <c r="B5" s="200"/>
      <c r="C5" s="201" t="s">
        <v>5</v>
      </c>
      <c r="D5" s="150" t="s">
        <v>513</v>
      </c>
      <c r="E5" s="150" t="s">
        <v>39</v>
      </c>
      <c r="F5" s="150" t="s">
        <v>40</v>
      </c>
      <c r="G5" s="150" t="s">
        <v>41</v>
      </c>
      <c r="H5" s="201" t="s">
        <v>42</v>
      </c>
      <c r="I5" s="201" t="s">
        <v>6</v>
      </c>
      <c r="J5" s="171" t="s">
        <v>43</v>
      </c>
      <c r="K5" s="150" t="s">
        <v>44</v>
      </c>
      <c r="L5" s="150" t="s">
        <v>45</v>
      </c>
      <c r="M5" s="201" t="s">
        <v>46</v>
      </c>
      <c r="N5" s="150" t="s">
        <v>58</v>
      </c>
      <c r="O5" s="150" t="s">
        <v>29</v>
      </c>
      <c r="P5" s="150" t="s">
        <v>28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</row>
    <row r="6" spans="1:39" ht="44.25" customHeight="1" thickBot="1">
      <c r="A6" s="181" t="s">
        <v>289</v>
      </c>
      <c r="B6" s="123"/>
      <c r="C6" s="154" t="s">
        <v>206</v>
      </c>
      <c r="D6" s="154" t="s">
        <v>290</v>
      </c>
      <c r="E6" s="269" t="s">
        <v>508</v>
      </c>
      <c r="F6" s="154" t="s">
        <v>291</v>
      </c>
      <c r="G6" s="154" t="s">
        <v>292</v>
      </c>
      <c r="H6" s="154" t="s">
        <v>146</v>
      </c>
      <c r="I6" s="154" t="s">
        <v>251</v>
      </c>
      <c r="J6" s="152" t="s">
        <v>252</v>
      </c>
      <c r="K6" s="154" t="s">
        <v>253</v>
      </c>
      <c r="L6" s="154" t="s">
        <v>254</v>
      </c>
      <c r="M6" s="154" t="s">
        <v>293</v>
      </c>
      <c r="N6" s="154" t="s">
        <v>294</v>
      </c>
      <c r="O6" s="154" t="s">
        <v>295</v>
      </c>
      <c r="P6" s="154" t="s">
        <v>296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s="73" customFormat="1" ht="30" customHeight="1" hidden="1">
      <c r="A7" s="76" t="s">
        <v>423</v>
      </c>
      <c r="B7" s="208" t="s">
        <v>325</v>
      </c>
      <c r="C7" s="66">
        <f>SUM(D7:P7)+SUM('6-3鄉決出續'!C7:O7)</f>
        <v>123906</v>
      </c>
      <c r="D7" s="66">
        <v>7275</v>
      </c>
      <c r="E7" s="66">
        <v>35874</v>
      </c>
      <c r="F7" s="66">
        <v>4458</v>
      </c>
      <c r="G7" s="66">
        <v>210</v>
      </c>
      <c r="H7" s="66">
        <v>1445</v>
      </c>
      <c r="I7" s="1">
        <v>0</v>
      </c>
      <c r="J7" s="118">
        <v>258</v>
      </c>
      <c r="K7" s="118">
        <v>7716</v>
      </c>
      <c r="L7" s="120">
        <v>0</v>
      </c>
      <c r="M7" s="118">
        <v>42239</v>
      </c>
      <c r="N7" s="118">
        <v>3089</v>
      </c>
      <c r="O7" s="118">
        <v>4240</v>
      </c>
      <c r="P7" s="118">
        <v>1127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</row>
    <row r="8" spans="1:39" s="73" customFormat="1" ht="28.5" customHeight="1" hidden="1">
      <c r="A8" s="76" t="s">
        <v>363</v>
      </c>
      <c r="B8" s="208" t="s">
        <v>366</v>
      </c>
      <c r="C8" s="66">
        <f>SUM(D8:P8)+SUM('6-3鄉決出續'!C8:O8)</f>
        <v>151890</v>
      </c>
      <c r="D8" s="66">
        <v>6743</v>
      </c>
      <c r="E8" s="66">
        <v>36596</v>
      </c>
      <c r="F8" s="66">
        <v>5078</v>
      </c>
      <c r="G8" s="66">
        <v>77</v>
      </c>
      <c r="H8" s="66">
        <v>1204</v>
      </c>
      <c r="I8" s="1">
        <v>0</v>
      </c>
      <c r="J8" s="118">
        <v>242</v>
      </c>
      <c r="K8" s="118">
        <v>9413</v>
      </c>
      <c r="L8" s="120">
        <v>0</v>
      </c>
      <c r="M8" s="118">
        <v>77392</v>
      </c>
      <c r="N8" s="118">
        <v>2065</v>
      </c>
      <c r="O8" s="118">
        <v>1845</v>
      </c>
      <c r="P8" s="118">
        <v>1245</v>
      </c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</row>
    <row r="9" spans="1:39" s="73" customFormat="1" ht="9.75" customHeight="1">
      <c r="A9" s="76"/>
      <c r="B9" s="208"/>
      <c r="C9" s="66"/>
      <c r="D9" s="66"/>
      <c r="E9" s="66"/>
      <c r="F9" s="66"/>
      <c r="G9" s="66"/>
      <c r="H9" s="66"/>
      <c r="I9" s="1"/>
      <c r="J9" s="118"/>
      <c r="K9" s="118"/>
      <c r="L9" s="120"/>
      <c r="M9" s="118"/>
      <c r="N9" s="118"/>
      <c r="O9" s="118"/>
      <c r="P9" s="118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</row>
    <row r="10" spans="1:39" s="73" customFormat="1" ht="28.5" customHeight="1">
      <c r="A10" s="137" t="s">
        <v>367</v>
      </c>
      <c r="B10" s="199" t="s">
        <v>368</v>
      </c>
      <c r="C10" s="66">
        <f>SUM(D10:P10)+SUM('6-3鄉決出續'!C9:O9)</f>
        <v>153457</v>
      </c>
      <c r="D10" s="66">
        <v>13463</v>
      </c>
      <c r="E10" s="66">
        <v>42904</v>
      </c>
      <c r="F10" s="66">
        <v>7072</v>
      </c>
      <c r="G10" s="66">
        <v>82</v>
      </c>
      <c r="H10" s="66">
        <v>550</v>
      </c>
      <c r="I10" s="1">
        <v>0</v>
      </c>
      <c r="J10" s="118">
        <v>465</v>
      </c>
      <c r="K10" s="118">
        <v>4325</v>
      </c>
      <c r="L10" s="120">
        <v>0</v>
      </c>
      <c r="M10" s="118">
        <v>62075</v>
      </c>
      <c r="N10" s="118">
        <v>2713</v>
      </c>
      <c r="O10" s="118">
        <v>8</v>
      </c>
      <c r="P10" s="118">
        <v>1247</v>
      </c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</row>
    <row r="11" spans="1:39" s="73" customFormat="1" ht="28.5" customHeight="1">
      <c r="A11" s="76" t="s">
        <v>369</v>
      </c>
      <c r="B11" s="208" t="s">
        <v>370</v>
      </c>
      <c r="C11" s="66">
        <f>SUM(D11:P11)+SUM('6-3鄉決出續'!C10:O10)</f>
        <v>73106</v>
      </c>
      <c r="D11" s="66">
        <v>10865</v>
      </c>
      <c r="E11" s="66">
        <v>29966</v>
      </c>
      <c r="F11" s="66">
        <v>6099</v>
      </c>
      <c r="G11" s="66">
        <v>42</v>
      </c>
      <c r="H11" s="66">
        <v>214</v>
      </c>
      <c r="I11" s="1">
        <v>0</v>
      </c>
      <c r="J11" s="119">
        <v>293</v>
      </c>
      <c r="K11" s="119">
        <v>440</v>
      </c>
      <c r="L11" s="120">
        <v>0</v>
      </c>
      <c r="M11" s="119">
        <v>12250</v>
      </c>
      <c r="N11" s="119">
        <v>497</v>
      </c>
      <c r="O11" s="120">
        <v>0</v>
      </c>
      <c r="P11" s="119">
        <v>596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</row>
    <row r="12" spans="1:39" s="73" customFormat="1" ht="28.5" customHeight="1">
      <c r="A12" s="76" t="s">
        <v>371</v>
      </c>
      <c r="B12" s="208" t="s">
        <v>372</v>
      </c>
      <c r="C12" s="66">
        <f>SUM(D12:P12)+SUM('6-3鄉決出續'!C11:O11)</f>
        <v>118316</v>
      </c>
      <c r="D12" s="66">
        <v>11520</v>
      </c>
      <c r="E12" s="66">
        <v>33759</v>
      </c>
      <c r="F12" s="66">
        <v>8551</v>
      </c>
      <c r="G12" s="66">
        <v>69</v>
      </c>
      <c r="H12" s="66">
        <v>740</v>
      </c>
      <c r="I12" s="1">
        <v>0</v>
      </c>
      <c r="J12" s="118">
        <v>380</v>
      </c>
      <c r="K12" s="118">
        <v>1689</v>
      </c>
      <c r="L12" s="120">
        <v>0</v>
      </c>
      <c r="M12" s="118">
        <v>23303</v>
      </c>
      <c r="N12" s="118">
        <v>804</v>
      </c>
      <c r="O12" s="120">
        <v>0</v>
      </c>
      <c r="P12" s="118">
        <v>292</v>
      </c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39" s="73" customFormat="1" ht="28.5" customHeight="1">
      <c r="A13" s="137" t="s">
        <v>373</v>
      </c>
      <c r="B13" s="199" t="s">
        <v>374</v>
      </c>
      <c r="C13" s="66">
        <f>SUM(D13:P13)+SUM('6-3鄉決出續'!C12:O12)</f>
        <v>169179</v>
      </c>
      <c r="D13" s="66">
        <v>12072</v>
      </c>
      <c r="E13" s="66">
        <v>36337</v>
      </c>
      <c r="F13" s="66">
        <v>11947</v>
      </c>
      <c r="G13" s="66">
        <v>126</v>
      </c>
      <c r="H13" s="66">
        <v>809</v>
      </c>
      <c r="I13" s="66">
        <v>0</v>
      </c>
      <c r="J13" s="118">
        <v>378</v>
      </c>
      <c r="K13" s="118">
        <v>3286</v>
      </c>
      <c r="L13" s="120">
        <v>0</v>
      </c>
      <c r="M13" s="118">
        <v>90432</v>
      </c>
      <c r="N13" s="118">
        <v>1293</v>
      </c>
      <c r="O13" s="118">
        <v>11</v>
      </c>
      <c r="P13" s="118">
        <v>421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</row>
    <row r="14" spans="1:39" s="73" customFormat="1" ht="28.5" customHeight="1">
      <c r="A14" s="137" t="s">
        <v>375</v>
      </c>
      <c r="B14" s="199" t="s">
        <v>376</v>
      </c>
      <c r="C14" s="66">
        <f>SUM(D14:P14)+SUM('6-3鄉決出續'!C13:O13)</f>
        <v>146751</v>
      </c>
      <c r="D14" s="66">
        <v>12964</v>
      </c>
      <c r="E14" s="66">
        <v>38309</v>
      </c>
      <c r="F14" s="66">
        <v>12834</v>
      </c>
      <c r="G14" s="66">
        <v>176</v>
      </c>
      <c r="H14" s="66">
        <v>1749</v>
      </c>
      <c r="I14" s="66">
        <v>0</v>
      </c>
      <c r="J14" s="118">
        <v>492</v>
      </c>
      <c r="K14" s="118">
        <v>5857</v>
      </c>
      <c r="L14" s="120">
        <v>0</v>
      </c>
      <c r="M14" s="118">
        <v>54557</v>
      </c>
      <c r="N14" s="118">
        <v>798</v>
      </c>
      <c r="O14" s="118">
        <v>20</v>
      </c>
      <c r="P14" s="118">
        <v>330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</row>
    <row r="15" spans="1:39" s="73" customFormat="1" ht="28.5" customHeight="1">
      <c r="A15" s="137" t="s">
        <v>313</v>
      </c>
      <c r="B15" s="199" t="s">
        <v>309</v>
      </c>
      <c r="C15" s="66">
        <f>SUM(D15:P15)+SUM('6-3鄉決出續'!C14:O14)</f>
        <v>152630</v>
      </c>
      <c r="D15" s="66">
        <v>13523</v>
      </c>
      <c r="E15" s="66">
        <v>37373</v>
      </c>
      <c r="F15" s="66">
        <v>9916</v>
      </c>
      <c r="G15" s="66">
        <v>92</v>
      </c>
      <c r="H15" s="66">
        <v>447</v>
      </c>
      <c r="I15" s="66">
        <v>0</v>
      </c>
      <c r="J15" s="118">
        <v>389</v>
      </c>
      <c r="K15" s="118">
        <v>3505</v>
      </c>
      <c r="L15" s="120">
        <v>0</v>
      </c>
      <c r="M15" s="118">
        <v>55518</v>
      </c>
      <c r="N15" s="118">
        <v>6858</v>
      </c>
      <c r="O15" s="118">
        <v>67</v>
      </c>
      <c r="P15" s="118">
        <v>1280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</row>
    <row r="16" spans="1:39" s="73" customFormat="1" ht="28.5" customHeight="1">
      <c r="A16" s="137" t="s">
        <v>395</v>
      </c>
      <c r="B16" s="199" t="s">
        <v>394</v>
      </c>
      <c r="C16" s="66">
        <f>SUM(D16:P16)+SUM('6-3鄉決出續'!C15:O15)</f>
        <v>129645</v>
      </c>
      <c r="D16" s="66">
        <v>13854</v>
      </c>
      <c r="E16" s="66">
        <v>18048</v>
      </c>
      <c r="F16" s="66">
        <v>18782</v>
      </c>
      <c r="G16" s="66">
        <v>128</v>
      </c>
      <c r="H16" s="66">
        <v>1870</v>
      </c>
      <c r="I16" s="66">
        <v>0</v>
      </c>
      <c r="J16" s="118">
        <v>1525</v>
      </c>
      <c r="K16" s="118">
        <v>6221</v>
      </c>
      <c r="L16" s="120">
        <v>0</v>
      </c>
      <c r="M16" s="118">
        <v>34000</v>
      </c>
      <c r="N16" s="118">
        <v>5695</v>
      </c>
      <c r="O16" s="118">
        <v>20</v>
      </c>
      <c r="P16" s="118">
        <v>7532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</row>
    <row r="17" spans="1:39" s="73" customFormat="1" ht="28.5" customHeight="1">
      <c r="A17" s="137" t="s">
        <v>401</v>
      </c>
      <c r="B17" s="199" t="s">
        <v>400</v>
      </c>
      <c r="C17" s="66">
        <f>SUM(D17:P17)+SUM('6-3鄉決出續'!C16:O16)</f>
        <v>124156</v>
      </c>
      <c r="D17" s="66">
        <v>14040</v>
      </c>
      <c r="E17" s="66">
        <v>16374</v>
      </c>
      <c r="F17" s="66">
        <v>16490</v>
      </c>
      <c r="G17" s="66">
        <v>98</v>
      </c>
      <c r="H17" s="66">
        <v>2775</v>
      </c>
      <c r="I17" s="66">
        <v>0</v>
      </c>
      <c r="J17" s="118">
        <v>1360</v>
      </c>
      <c r="K17" s="118">
        <v>7134</v>
      </c>
      <c r="L17" s="120">
        <v>0</v>
      </c>
      <c r="M17" s="118">
        <v>36544</v>
      </c>
      <c r="N17" s="118">
        <v>6215</v>
      </c>
      <c r="O17" s="118">
        <v>56</v>
      </c>
      <c r="P17" s="118">
        <v>6167</v>
      </c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</row>
    <row r="18" spans="1:39" s="73" customFormat="1" ht="28.5" customHeight="1">
      <c r="A18" s="137" t="s">
        <v>402</v>
      </c>
      <c r="B18" s="199" t="s">
        <v>403</v>
      </c>
      <c r="C18" s="66">
        <f>SUM(D18:P18)+SUM('6-3鄉決出續'!C17:O17)</f>
        <v>128645</v>
      </c>
      <c r="D18" s="66">
        <v>14572</v>
      </c>
      <c r="E18" s="66">
        <v>16314</v>
      </c>
      <c r="F18" s="66">
        <v>14579</v>
      </c>
      <c r="G18" s="66">
        <v>118</v>
      </c>
      <c r="H18" s="66">
        <v>3154</v>
      </c>
      <c r="I18" s="66">
        <v>0</v>
      </c>
      <c r="J18" s="118">
        <v>1549</v>
      </c>
      <c r="K18" s="118">
        <v>6573</v>
      </c>
      <c r="L18" s="120">
        <v>0</v>
      </c>
      <c r="M18" s="118">
        <v>41653</v>
      </c>
      <c r="N18" s="118">
        <v>6301</v>
      </c>
      <c r="O18" s="118">
        <v>23</v>
      </c>
      <c r="P18" s="118">
        <v>5914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</row>
    <row r="19" spans="1:39" s="73" customFormat="1" ht="28.5" customHeight="1">
      <c r="A19" s="137" t="s">
        <v>407</v>
      </c>
      <c r="B19" s="199" t="s">
        <v>408</v>
      </c>
      <c r="C19" s="66">
        <f>SUM(D19:P19)+SUM('6-3鄉決出續'!C18:O18)</f>
        <v>86488.70199999999</v>
      </c>
      <c r="D19" s="66">
        <v>14249.098</v>
      </c>
      <c r="E19" s="66">
        <v>13395.356</v>
      </c>
      <c r="F19" s="66">
        <v>14755.17</v>
      </c>
      <c r="G19" s="66">
        <v>116.279</v>
      </c>
      <c r="H19" s="66">
        <v>2720.564</v>
      </c>
      <c r="I19" s="66">
        <v>0</v>
      </c>
      <c r="J19" s="118">
        <v>1858.564</v>
      </c>
      <c r="K19" s="118">
        <v>6803.052</v>
      </c>
      <c r="L19" s="120">
        <v>0</v>
      </c>
      <c r="M19" s="118">
        <v>2988.812</v>
      </c>
      <c r="N19" s="118">
        <v>6956.931</v>
      </c>
      <c r="O19" s="118">
        <v>17.004</v>
      </c>
      <c r="P19" s="118">
        <v>6020.575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</row>
    <row r="20" spans="1:39" s="73" customFormat="1" ht="28.5" customHeight="1">
      <c r="A20" s="137" t="s">
        <v>414</v>
      </c>
      <c r="B20" s="199" t="s">
        <v>415</v>
      </c>
      <c r="C20" s="66">
        <f>SUM(D20:P20)+SUM('6-3鄉決出續'!C19:O19)</f>
        <v>244039.05599999995</v>
      </c>
      <c r="D20" s="66">
        <f>13874.434+500</f>
        <v>14374.434</v>
      </c>
      <c r="E20" s="66">
        <f>13794.227+789.631</f>
        <v>14583.858</v>
      </c>
      <c r="F20" s="66">
        <f>25453.479+421</f>
        <v>25874.479</v>
      </c>
      <c r="G20" s="66">
        <v>93.505</v>
      </c>
      <c r="H20" s="66">
        <v>3174.286</v>
      </c>
      <c r="I20" s="66">
        <v>0</v>
      </c>
      <c r="J20" s="118">
        <v>3067.475</v>
      </c>
      <c r="K20" s="118">
        <f>20821.6+2520.452</f>
        <v>23342.052</v>
      </c>
      <c r="L20" s="120">
        <v>0</v>
      </c>
      <c r="M20" s="118">
        <f>4700.279+100082.151</f>
        <v>104782.43</v>
      </c>
      <c r="N20" s="118">
        <f>1805.211+12834.361</f>
        <v>14639.572</v>
      </c>
      <c r="O20" s="118">
        <v>0</v>
      </c>
      <c r="P20" s="118">
        <v>15882.8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</row>
    <row r="21" spans="1:39" s="73" customFormat="1" ht="28.5" customHeight="1">
      <c r="A21" s="137" t="s">
        <v>416</v>
      </c>
      <c r="B21" s="199" t="s">
        <v>417</v>
      </c>
      <c r="C21" s="66">
        <f>SUM(D21:P21)+SUM('6-3鄉決出續'!C20:O20)</f>
        <v>168010.01300000004</v>
      </c>
      <c r="D21" s="66">
        <f>13675.531+1000</f>
        <v>14675.531</v>
      </c>
      <c r="E21" s="66">
        <f>13292.749+710.658</f>
        <v>14003.407</v>
      </c>
      <c r="F21" s="66">
        <f>20893.219+800</f>
        <v>21693.219</v>
      </c>
      <c r="G21" s="66">
        <v>87.366</v>
      </c>
      <c r="H21" s="66">
        <v>3458.879</v>
      </c>
      <c r="I21" s="66">
        <v>0</v>
      </c>
      <c r="J21" s="118">
        <f>3780.847+140</f>
        <v>3920.847</v>
      </c>
      <c r="K21" s="118">
        <f>19471.29+7946.79</f>
        <v>27418.08</v>
      </c>
      <c r="L21" s="120">
        <v>0</v>
      </c>
      <c r="M21" s="118">
        <f>4432.591+40158.849</f>
        <v>44591.44</v>
      </c>
      <c r="N21" s="118">
        <f>1925.24+7182.989</f>
        <v>9108.229</v>
      </c>
      <c r="O21" s="118">
        <v>0</v>
      </c>
      <c r="P21" s="118">
        <v>6498.929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</row>
    <row r="22" spans="1:39" s="73" customFormat="1" ht="28.5" customHeight="1">
      <c r="A22" s="137" t="s">
        <v>436</v>
      </c>
      <c r="B22" s="199" t="s">
        <v>437</v>
      </c>
      <c r="C22" s="66">
        <f>SUM(D22:P22)+SUM('6-3鄉決出續'!C21:O21)</f>
        <v>217675.06</v>
      </c>
      <c r="D22" s="66">
        <f>14395.945+800</f>
        <v>15195.945</v>
      </c>
      <c r="E22" s="66">
        <f>13424.336+1363.867</f>
        <v>14788.203</v>
      </c>
      <c r="F22" s="66">
        <f>21466.98+5652.6</f>
        <v>27119.58</v>
      </c>
      <c r="G22" s="66">
        <v>123.267</v>
      </c>
      <c r="H22" s="66">
        <v>3602.428</v>
      </c>
      <c r="I22" s="66">
        <v>0</v>
      </c>
      <c r="J22" s="118">
        <v>13445.198</v>
      </c>
      <c r="K22" s="118">
        <f>19579.715+1127.8</f>
        <v>20707.515</v>
      </c>
      <c r="L22" s="120">
        <v>0</v>
      </c>
      <c r="M22" s="118">
        <f>3552.813+90534.345</f>
        <v>94087.158</v>
      </c>
      <c r="N22" s="118">
        <f>819.751+256.533</f>
        <v>1076.284</v>
      </c>
      <c r="O22" s="118">
        <v>0</v>
      </c>
      <c r="P22" s="118">
        <v>6645.509</v>
      </c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</row>
    <row r="23" spans="1:39" s="73" customFormat="1" ht="28.5" customHeight="1">
      <c r="A23" s="137" t="s">
        <v>438</v>
      </c>
      <c r="B23" s="199" t="s">
        <v>439</v>
      </c>
      <c r="C23" s="66">
        <f>SUM(D23:P23)+SUM('6-3鄉決出續'!C22:O22)</f>
        <v>177180.70299999998</v>
      </c>
      <c r="D23" s="66">
        <f>15007.663+34.949</f>
        <v>15042.612000000001</v>
      </c>
      <c r="E23" s="66">
        <f>13807.277+1539.91</f>
        <v>15347.187</v>
      </c>
      <c r="F23" s="66">
        <f>21013.474+6399.092</f>
        <v>27412.566</v>
      </c>
      <c r="G23" s="66">
        <v>140.843</v>
      </c>
      <c r="H23" s="66">
        <v>10452.703</v>
      </c>
      <c r="I23" s="66">
        <v>0</v>
      </c>
      <c r="J23" s="118">
        <f>3782.502+67.416</f>
        <v>3849.918</v>
      </c>
      <c r="K23" s="118">
        <f>14394.132+6298.374</f>
        <v>20692.506</v>
      </c>
      <c r="L23" s="120">
        <v>0</v>
      </c>
      <c r="M23" s="118">
        <f>4081.274+48113.994</f>
        <v>52195.268</v>
      </c>
      <c r="N23" s="118">
        <f>817.653+3384.476</f>
        <v>4202.129</v>
      </c>
      <c r="O23" s="118">
        <v>332.663</v>
      </c>
      <c r="P23" s="118">
        <v>6486.147</v>
      </c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</row>
    <row r="24" spans="1:39" s="73" customFormat="1" ht="28.5" customHeight="1">
      <c r="A24" s="137" t="s">
        <v>460</v>
      </c>
      <c r="B24" s="199" t="s">
        <v>461</v>
      </c>
      <c r="C24" s="66">
        <f>SUM(D24:P24)+SUM('6-3鄉決出續'!C23:O23)</f>
        <v>287180.59900000005</v>
      </c>
      <c r="D24" s="66">
        <f>14751.807+6051.987</f>
        <v>20803.794</v>
      </c>
      <c r="E24" s="66">
        <f>14300.595+3110.294</f>
        <v>17410.889</v>
      </c>
      <c r="F24" s="66">
        <f>25188.792+89889.478</f>
        <v>115078.27</v>
      </c>
      <c r="G24" s="66">
        <v>149.763</v>
      </c>
      <c r="H24" s="66">
        <v>4756.16</v>
      </c>
      <c r="I24" s="66">
        <v>0</v>
      </c>
      <c r="J24" s="118">
        <f>3490.965+7.416</f>
        <v>3498.3810000000003</v>
      </c>
      <c r="K24" s="118">
        <f>16816.946+3480.467</f>
        <v>20297.413</v>
      </c>
      <c r="L24" s="120">
        <v>0</v>
      </c>
      <c r="M24" s="118">
        <f>4523.641+66285.789</f>
        <v>70809.43000000001</v>
      </c>
      <c r="N24" s="118">
        <f>710.836+4696.59</f>
        <v>5407.426</v>
      </c>
      <c r="O24" s="118">
        <v>339.129</v>
      </c>
      <c r="P24" s="118">
        <v>6884.082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</row>
    <row r="25" spans="1:39" s="73" customFormat="1" ht="28.5" customHeight="1">
      <c r="A25" s="137" t="s">
        <v>466</v>
      </c>
      <c r="B25" s="199" t="s">
        <v>467</v>
      </c>
      <c r="C25" s="66">
        <f>SUM(D25:P25)+SUM('6-3鄉決出續'!C24:O24)</f>
        <v>184191.241</v>
      </c>
      <c r="D25" s="66">
        <f>14534.174+3623.672</f>
        <v>18157.846</v>
      </c>
      <c r="E25" s="66">
        <f>13108.928+1001.888</f>
        <v>14110.816</v>
      </c>
      <c r="F25" s="66">
        <f>20460.936+20194.503</f>
        <v>40655.439</v>
      </c>
      <c r="G25" s="66">
        <v>167.85</v>
      </c>
      <c r="H25" s="66">
        <v>7659.83</v>
      </c>
      <c r="I25" s="66">
        <v>0</v>
      </c>
      <c r="J25" s="118">
        <f>5289.977+2994.982</f>
        <v>8284.958999999999</v>
      </c>
      <c r="K25" s="118">
        <f>15035.117+4164.734</f>
        <v>19199.851000000002</v>
      </c>
      <c r="L25" s="120">
        <v>0</v>
      </c>
      <c r="M25" s="118">
        <f>4999.803+15229.366</f>
        <v>20229.169</v>
      </c>
      <c r="N25" s="118">
        <f>844.227+24639.359</f>
        <v>25483.586</v>
      </c>
      <c r="O25" s="118">
        <v>357.048</v>
      </c>
      <c r="P25" s="118">
        <v>6989.558</v>
      </c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</row>
    <row r="26" spans="1:39" s="73" customFormat="1" ht="28.5" customHeight="1">
      <c r="A26" s="137" t="s">
        <v>499</v>
      </c>
      <c r="B26" s="199" t="s">
        <v>500</v>
      </c>
      <c r="C26" s="66">
        <f>SUM(D26:P26)+SUM('6-3鄉決出續'!C25:O25)</f>
        <v>187263.30800000002</v>
      </c>
      <c r="D26" s="66">
        <f>15468.294+1918</f>
        <v>17386.294</v>
      </c>
      <c r="E26" s="66">
        <f>14039.916+869.146</f>
        <v>14909.062</v>
      </c>
      <c r="F26" s="66">
        <f>18680.886+8742.15</f>
        <v>27423.036</v>
      </c>
      <c r="G26" s="66">
        <v>155.758</v>
      </c>
      <c r="H26" s="66">
        <f>8227.352+24.973</f>
        <v>8252.325</v>
      </c>
      <c r="I26" s="66">
        <v>0</v>
      </c>
      <c r="J26" s="118">
        <f>5748.231+59.682</f>
        <v>5807.913</v>
      </c>
      <c r="K26" s="118">
        <f>24946.659+14142.833</f>
        <v>39089.492</v>
      </c>
      <c r="L26" s="120">
        <v>0</v>
      </c>
      <c r="M26" s="118">
        <f>4484.519+31646.266</f>
        <v>36130.785</v>
      </c>
      <c r="N26" s="118">
        <f>1439.046+297.855</f>
        <v>1736.901</v>
      </c>
      <c r="O26" s="118">
        <v>326.687</v>
      </c>
      <c r="P26" s="118">
        <v>9985.158</v>
      </c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</row>
    <row r="27" spans="1:39" s="73" customFormat="1" ht="28.5" customHeight="1">
      <c r="A27" s="137" t="s">
        <v>503</v>
      </c>
      <c r="B27" s="199" t="s">
        <v>506</v>
      </c>
      <c r="C27" s="66">
        <f>SUM(D27:P27)+SUM('6-3鄉決出續'!C26:O26)</f>
        <v>291354.175</v>
      </c>
      <c r="D27" s="66">
        <f>14577.136+1196.774</f>
        <v>15773.91</v>
      </c>
      <c r="E27" s="66">
        <f>15618.805+2999.919</f>
        <v>18618.724000000002</v>
      </c>
      <c r="F27" s="66">
        <f>20186.006+11827.692</f>
        <v>32013.698</v>
      </c>
      <c r="G27" s="66">
        <v>487.291</v>
      </c>
      <c r="H27" s="66">
        <v>8613.222</v>
      </c>
      <c r="I27" s="66">
        <v>0</v>
      </c>
      <c r="J27" s="118">
        <f>6539.64+339.945</f>
        <v>6879.585</v>
      </c>
      <c r="K27" s="118">
        <f>46579.498+18959.06</f>
        <v>65538.558</v>
      </c>
      <c r="L27" s="120">
        <v>0</v>
      </c>
      <c r="M27" s="118">
        <f>4719.038+62491.64</f>
        <v>67210.678</v>
      </c>
      <c r="N27" s="118">
        <f>1658.755+39523.428</f>
        <v>41182.183</v>
      </c>
      <c r="O27" s="118">
        <v>355.236</v>
      </c>
      <c r="P27" s="118">
        <v>9489.165</v>
      </c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</row>
    <row r="28" spans="1:39" s="264" customFormat="1" ht="28.5" customHeight="1">
      <c r="A28" s="274" t="s">
        <v>509</v>
      </c>
      <c r="B28" s="275" t="s">
        <v>512</v>
      </c>
      <c r="C28" s="67">
        <f>SUM(D28:P28)+SUM('6-3鄉決出續'!C27:O27)</f>
        <v>266366.236</v>
      </c>
      <c r="D28" s="67">
        <f>13007.061+626.85</f>
        <v>13633.911</v>
      </c>
      <c r="E28" s="67">
        <f>16860.343+7588.539</f>
        <v>24448.882</v>
      </c>
      <c r="F28" s="67">
        <f>21405.371+7135.311</f>
        <v>28540.682</v>
      </c>
      <c r="G28" s="67">
        <v>1157.2</v>
      </c>
      <c r="H28" s="67">
        <v>7728.617</v>
      </c>
      <c r="I28" s="67">
        <v>0</v>
      </c>
      <c r="J28" s="240">
        <f>7712.975+3210.297</f>
        <v>10923.272</v>
      </c>
      <c r="K28" s="240">
        <f>28059.961+11632.992</f>
        <v>39692.953</v>
      </c>
      <c r="L28" s="276">
        <v>0</v>
      </c>
      <c r="M28" s="240">
        <f>4929.125+27863.404</f>
        <v>32792.528999999995</v>
      </c>
      <c r="N28" s="240">
        <f>1596.308+61544.109</f>
        <v>63140.416999999994</v>
      </c>
      <c r="O28" s="240">
        <f>336.028+6652.95</f>
        <v>6988.978</v>
      </c>
      <c r="P28" s="240">
        <v>11629.059</v>
      </c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</row>
    <row r="29" spans="1:39" s="264" customFormat="1" ht="28.5" customHeight="1">
      <c r="A29" s="274" t="s">
        <v>520</v>
      </c>
      <c r="B29" s="275" t="s">
        <v>521</v>
      </c>
      <c r="C29" s="67">
        <f>SUM(D29:P29)+SUM('6-3鄉決出續'!C28:O28)</f>
        <v>290721.359</v>
      </c>
      <c r="D29" s="67">
        <f>15502.124+3731.983</f>
        <v>19234.107</v>
      </c>
      <c r="E29" s="67">
        <f>17136.907+2306.965</f>
        <v>19443.872</v>
      </c>
      <c r="F29" s="67">
        <f>20221.947+26862.69</f>
        <v>47084.637</v>
      </c>
      <c r="G29" s="67">
        <v>537.942</v>
      </c>
      <c r="H29" s="67">
        <v>3945.795</v>
      </c>
      <c r="I29" s="67">
        <v>0</v>
      </c>
      <c r="J29" s="240">
        <f>8594.088+121.259</f>
        <v>8715.347</v>
      </c>
      <c r="K29" s="240">
        <f>81963.981+33247.307</f>
        <v>115211.288</v>
      </c>
      <c r="L29" s="276">
        <v>0</v>
      </c>
      <c r="M29" s="240">
        <f>5092.257+14676.085</f>
        <v>19768.341999999997</v>
      </c>
      <c r="N29" s="240">
        <f>8565.869+5515.199</f>
        <v>14081.068</v>
      </c>
      <c r="O29" s="240">
        <v>377.701</v>
      </c>
      <c r="P29" s="240">
        <f>11447.875+4694.2</f>
        <v>16142.075</v>
      </c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</row>
    <row r="30" spans="1:28" s="27" customFormat="1" ht="28.5" customHeight="1" thickBot="1">
      <c r="A30" s="53" t="s">
        <v>10</v>
      </c>
      <c r="B30" s="60"/>
      <c r="C30" s="68" t="s">
        <v>10</v>
      </c>
      <c r="D30" s="68" t="s">
        <v>10</v>
      </c>
      <c r="E30" s="68" t="s">
        <v>10</v>
      </c>
      <c r="F30" s="68" t="s">
        <v>10</v>
      </c>
      <c r="G30" s="68" t="s">
        <v>10</v>
      </c>
      <c r="H30" s="68" t="s">
        <v>10</v>
      </c>
      <c r="I30" s="68" t="s">
        <v>10</v>
      </c>
      <c r="J30" s="68" t="s">
        <v>10</v>
      </c>
      <c r="K30" s="68" t="s">
        <v>10</v>
      </c>
      <c r="L30" s="68" t="s">
        <v>10</v>
      </c>
      <c r="M30" s="68" t="s">
        <v>10</v>
      </c>
      <c r="N30" s="68" t="s">
        <v>10</v>
      </c>
      <c r="O30" s="68" t="s">
        <v>10</v>
      </c>
      <c r="P30" s="68" t="s">
        <v>10</v>
      </c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s="27" customFormat="1" ht="15.75">
      <c r="A31" s="99" t="s">
        <v>456</v>
      </c>
      <c r="B31" s="99"/>
      <c r="C31" s="9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  <c r="P31" s="109"/>
      <c r="Q31" s="109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1:17" ht="15.75">
      <c r="A32" s="38"/>
      <c r="B32" s="38"/>
      <c r="C32" s="109"/>
      <c r="D32" s="95"/>
      <c r="E32" s="95"/>
      <c r="F32" s="95"/>
      <c r="G32" s="95"/>
      <c r="H32" s="109"/>
      <c r="I32" s="109"/>
      <c r="J32" s="109"/>
      <c r="K32" s="109"/>
      <c r="L32" s="110"/>
      <c r="M32" s="109"/>
      <c r="N32" s="109"/>
      <c r="O32" s="109"/>
      <c r="P32" s="109"/>
      <c r="Q32" s="109"/>
    </row>
    <row r="33" spans="1:17" ht="15.75">
      <c r="A33" s="38"/>
      <c r="B33" s="38"/>
      <c r="C33" s="109"/>
      <c r="D33" s="95"/>
      <c r="E33" s="95"/>
      <c r="F33" s="95"/>
      <c r="G33" s="95"/>
      <c r="H33" s="109"/>
      <c r="I33" s="109"/>
      <c r="J33" s="109"/>
      <c r="K33" s="109"/>
      <c r="L33" s="110"/>
      <c r="M33" s="109"/>
      <c r="N33" s="109"/>
      <c r="O33" s="109"/>
      <c r="P33" s="109"/>
      <c r="Q33" s="109"/>
    </row>
    <row r="34" spans="1:17" ht="15.75">
      <c r="A34" s="38"/>
      <c r="B34" s="38"/>
      <c r="C34" s="109"/>
      <c r="D34" s="95"/>
      <c r="E34" s="95"/>
      <c r="F34" s="95"/>
      <c r="G34" s="95"/>
      <c r="H34" s="109"/>
      <c r="I34" s="109"/>
      <c r="J34" s="109"/>
      <c r="K34" s="109"/>
      <c r="L34" s="110"/>
      <c r="M34" s="109"/>
      <c r="N34" s="109"/>
      <c r="O34" s="109"/>
      <c r="P34" s="109"/>
      <c r="Q34" s="109"/>
    </row>
    <row r="35" spans="1:17" ht="15.75">
      <c r="A35" s="38"/>
      <c r="B35" s="38"/>
      <c r="C35" s="109"/>
      <c r="D35" s="95"/>
      <c r="E35" s="95"/>
      <c r="F35" s="95"/>
      <c r="G35" s="95"/>
      <c r="H35" s="109"/>
      <c r="I35" s="109"/>
      <c r="J35" s="109"/>
      <c r="K35" s="109"/>
      <c r="L35" s="110"/>
      <c r="M35" s="109"/>
      <c r="N35" s="109"/>
      <c r="O35" s="109"/>
      <c r="P35" s="109"/>
      <c r="Q35" s="109"/>
    </row>
    <row r="36" spans="1:16" ht="15.75">
      <c r="A36" s="101"/>
      <c r="B36" s="101"/>
      <c r="C36" s="102"/>
      <c r="D36" s="102"/>
      <c r="E36" s="102"/>
      <c r="F36" s="102"/>
      <c r="G36" s="102"/>
      <c r="H36" s="101"/>
      <c r="I36" s="102"/>
      <c r="J36" s="102"/>
      <c r="K36" s="102"/>
      <c r="L36" s="102"/>
      <c r="M36" s="102"/>
      <c r="N36" s="102"/>
      <c r="O36" s="102"/>
      <c r="P36" s="101"/>
    </row>
    <row r="37" spans="3:15" ht="15.75">
      <c r="C37" s="102"/>
      <c r="D37" s="102"/>
      <c r="E37" s="102"/>
      <c r="F37" s="102"/>
      <c r="G37" s="102"/>
      <c r="I37" s="102"/>
      <c r="J37" s="102"/>
      <c r="K37" s="102"/>
      <c r="L37" s="102"/>
      <c r="M37" s="102"/>
      <c r="N37" s="102"/>
      <c r="O37" s="10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36"/>
  <sheetViews>
    <sheetView tabSelected="1" zoomScale="120" zoomScaleNormal="120" zoomScalePageLayoutView="0" workbookViewId="0" topLeftCell="A1">
      <pane ySplit="6" topLeftCell="A7" activePane="bottomLeft" state="frozen"/>
      <selection pane="topLeft" activeCell="E1" sqref="E1"/>
      <selection pane="bottomLeft" activeCell="A8" sqref="A8:IV8"/>
    </sheetView>
  </sheetViews>
  <sheetFormatPr defaultColWidth="9.00390625" defaultRowHeight="16.5"/>
  <cols>
    <col min="1" max="1" width="12.875" style="65" customWidth="1"/>
    <col min="2" max="2" width="5.75390625" style="65" customWidth="1"/>
    <col min="3" max="5" width="10.625" style="65" customWidth="1"/>
    <col min="6" max="7" width="11.00390625" style="65" customWidth="1"/>
    <col min="8" max="8" width="11.25390625" style="65" customWidth="1"/>
    <col min="9" max="9" width="11.625" style="65" customWidth="1"/>
    <col min="10" max="10" width="12.75390625" style="65" customWidth="1"/>
    <col min="11" max="11" width="11.375" style="65" customWidth="1"/>
    <col min="12" max="12" width="13.125" style="65" customWidth="1"/>
    <col min="13" max="13" width="13.375" style="65" customWidth="1"/>
    <col min="14" max="15" width="11.375" style="65" customWidth="1"/>
    <col min="16" max="16384" width="9.00390625" style="65" customWidth="1"/>
  </cols>
  <sheetData>
    <row r="1" spans="1:40" ht="15.75">
      <c r="A1" s="3" t="s">
        <v>496</v>
      </c>
      <c r="B1" s="3"/>
      <c r="C1" s="111"/>
      <c r="D1" s="78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491</v>
      </c>
      <c r="P1" s="4"/>
      <c r="Q1" s="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27" ht="21" customHeight="1">
      <c r="A2" s="112" t="s">
        <v>494</v>
      </c>
      <c r="B2" s="112"/>
      <c r="C2" s="112"/>
      <c r="D2" s="112"/>
      <c r="E2" s="112"/>
      <c r="F2" s="112"/>
      <c r="G2" s="112"/>
      <c r="H2" s="112"/>
      <c r="I2" s="202" t="s">
        <v>495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4.25" customHeight="1">
      <c r="A3" s="205" t="s">
        <v>230</v>
      </c>
      <c r="B3" s="205"/>
      <c r="C3" s="205"/>
      <c r="D3" s="205"/>
      <c r="E3" s="205"/>
      <c r="F3" s="205"/>
      <c r="G3" s="205"/>
      <c r="H3" s="205"/>
      <c r="I3" s="205" t="s">
        <v>286</v>
      </c>
      <c r="J3" s="205"/>
      <c r="K3" s="205"/>
      <c r="L3" s="205"/>
      <c r="M3" s="205"/>
      <c r="N3" s="205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4.25" customHeight="1" thickBot="1">
      <c r="A4" s="122" t="s">
        <v>204</v>
      </c>
      <c r="B4" s="122"/>
      <c r="C4" s="122"/>
      <c r="D4" s="122"/>
      <c r="E4" s="122"/>
      <c r="F4" s="122"/>
      <c r="G4" s="122"/>
      <c r="H4" s="107"/>
      <c r="I4" s="107"/>
      <c r="J4" s="122"/>
      <c r="K4" s="122"/>
      <c r="L4" s="122"/>
      <c r="M4" s="122"/>
      <c r="N4" s="122"/>
      <c r="O4" s="144" t="s">
        <v>288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15" s="73" customFormat="1" ht="24.75" customHeight="1">
      <c r="A5" s="203" t="s">
        <v>1</v>
      </c>
      <c r="B5" s="203"/>
      <c r="C5" s="204" t="s">
        <v>59</v>
      </c>
      <c r="D5" s="170" t="s">
        <v>60</v>
      </c>
      <c r="E5" s="170" t="s">
        <v>61</v>
      </c>
      <c r="F5" s="170" t="s">
        <v>62</v>
      </c>
      <c r="G5" s="170" t="s">
        <v>63</v>
      </c>
      <c r="H5" s="150" t="s">
        <v>64</v>
      </c>
      <c r="I5" s="58" t="s">
        <v>65</v>
      </c>
      <c r="J5" s="58" t="s">
        <v>299</v>
      </c>
      <c r="K5" s="170" t="s">
        <v>7</v>
      </c>
      <c r="L5" s="170" t="s">
        <v>300</v>
      </c>
      <c r="M5" s="170" t="s">
        <v>66</v>
      </c>
      <c r="N5" s="170" t="s">
        <v>8</v>
      </c>
      <c r="O5" s="169" t="s">
        <v>67</v>
      </c>
    </row>
    <row r="6" spans="1:15" ht="53.25" customHeight="1" thickBot="1">
      <c r="A6" s="206" t="s">
        <v>223</v>
      </c>
      <c r="B6" s="123"/>
      <c r="C6" s="197" t="s">
        <v>270</v>
      </c>
      <c r="D6" s="154" t="s">
        <v>272</v>
      </c>
      <c r="E6" s="154" t="s">
        <v>157</v>
      </c>
      <c r="F6" s="154" t="s">
        <v>273</v>
      </c>
      <c r="G6" s="154" t="s">
        <v>274</v>
      </c>
      <c r="H6" s="154" t="s">
        <v>275</v>
      </c>
      <c r="I6" s="152" t="s">
        <v>276</v>
      </c>
      <c r="J6" s="152" t="s">
        <v>277</v>
      </c>
      <c r="K6" s="154" t="s">
        <v>278</v>
      </c>
      <c r="L6" s="154" t="s">
        <v>301</v>
      </c>
      <c r="M6" s="154" t="s">
        <v>280</v>
      </c>
      <c r="N6" s="154" t="s">
        <v>302</v>
      </c>
      <c r="O6" s="164" t="s">
        <v>303</v>
      </c>
    </row>
    <row r="7" spans="1:27" s="73" customFormat="1" ht="30" customHeight="1" hidden="1">
      <c r="A7" s="76" t="s">
        <v>423</v>
      </c>
      <c r="B7" s="208" t="s">
        <v>325</v>
      </c>
      <c r="C7" s="66">
        <v>9479</v>
      </c>
      <c r="D7" s="1">
        <v>0</v>
      </c>
      <c r="E7" s="1">
        <v>0</v>
      </c>
      <c r="F7" s="120">
        <v>0</v>
      </c>
      <c r="G7" s="118">
        <v>5940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118">
        <v>556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7" s="73" customFormat="1" ht="28.5" customHeight="1" hidden="1">
      <c r="A8" s="76" t="s">
        <v>377</v>
      </c>
      <c r="B8" s="208" t="s">
        <v>378</v>
      </c>
      <c r="C8" s="66">
        <v>4130</v>
      </c>
      <c r="D8" s="1">
        <v>0</v>
      </c>
      <c r="E8" s="1">
        <v>0</v>
      </c>
      <c r="F8" s="120">
        <v>0</v>
      </c>
      <c r="G8" s="118">
        <v>5556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118">
        <v>304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7" s="73" customFormat="1" ht="28.5" customHeight="1">
      <c r="A9" s="137" t="s">
        <v>379</v>
      </c>
      <c r="B9" s="199" t="s">
        <v>380</v>
      </c>
      <c r="C9" s="66">
        <v>7029</v>
      </c>
      <c r="D9" s="1">
        <v>0</v>
      </c>
      <c r="E9" s="1">
        <v>0</v>
      </c>
      <c r="F9" s="120">
        <v>0</v>
      </c>
      <c r="G9" s="118">
        <v>4363</v>
      </c>
      <c r="H9" s="119">
        <v>7111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118">
        <v>50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27" s="73" customFormat="1" ht="28.5" customHeight="1">
      <c r="A10" s="76" t="s">
        <v>381</v>
      </c>
      <c r="B10" s="208" t="s">
        <v>382</v>
      </c>
      <c r="C10" s="66">
        <v>3842</v>
      </c>
      <c r="D10" s="1">
        <v>0</v>
      </c>
      <c r="E10" s="1">
        <v>0</v>
      </c>
      <c r="F10" s="119">
        <v>1</v>
      </c>
      <c r="G10" s="119">
        <v>2427</v>
      </c>
      <c r="H10" s="119">
        <v>5534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119">
        <v>40</v>
      </c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73" customFormat="1" ht="28.5" customHeight="1">
      <c r="A11" s="76" t="s">
        <v>383</v>
      </c>
      <c r="B11" s="208" t="s">
        <v>384</v>
      </c>
      <c r="C11" s="66">
        <v>4295</v>
      </c>
      <c r="D11" s="1">
        <v>0</v>
      </c>
      <c r="E11" s="66">
        <v>0</v>
      </c>
      <c r="F11" s="118">
        <v>32</v>
      </c>
      <c r="G11" s="118">
        <v>26436</v>
      </c>
      <c r="H11" s="119">
        <v>6446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120">
        <v>0</v>
      </c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</row>
    <row r="12" spans="1:27" s="73" customFormat="1" ht="28.5" customHeight="1">
      <c r="A12" s="137" t="s">
        <v>385</v>
      </c>
      <c r="B12" s="199" t="s">
        <v>386</v>
      </c>
      <c r="C12" s="66">
        <v>4347</v>
      </c>
      <c r="D12" s="66">
        <v>0</v>
      </c>
      <c r="E12" s="66">
        <v>0</v>
      </c>
      <c r="F12" s="118">
        <v>165</v>
      </c>
      <c r="G12" s="118">
        <v>3322</v>
      </c>
      <c r="H12" s="119">
        <v>4231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118">
        <v>2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27" s="73" customFormat="1" ht="28.5" customHeight="1">
      <c r="A13" s="137" t="s">
        <v>387</v>
      </c>
      <c r="B13" s="199" t="s">
        <v>388</v>
      </c>
      <c r="C13" s="66">
        <v>4979</v>
      </c>
      <c r="D13" s="66">
        <v>0</v>
      </c>
      <c r="E13" s="66">
        <v>0</v>
      </c>
      <c r="F13" s="118">
        <v>389</v>
      </c>
      <c r="G13" s="118">
        <v>6241</v>
      </c>
      <c r="H13" s="119">
        <v>5968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118">
        <v>1088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s="73" customFormat="1" ht="28.5" customHeight="1">
      <c r="A14" s="137" t="s">
        <v>389</v>
      </c>
      <c r="B14" s="199" t="s">
        <v>309</v>
      </c>
      <c r="C14" s="66">
        <v>4420</v>
      </c>
      <c r="D14" s="66">
        <v>0</v>
      </c>
      <c r="E14" s="66">
        <v>0</v>
      </c>
      <c r="F14" s="118">
        <v>865</v>
      </c>
      <c r="G14" s="118">
        <v>11722</v>
      </c>
      <c r="H14" s="119">
        <v>6594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118">
        <v>61</v>
      </c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s="73" customFormat="1" ht="28.5" customHeight="1">
      <c r="A15" s="137" t="s">
        <v>395</v>
      </c>
      <c r="B15" s="199" t="s">
        <v>394</v>
      </c>
      <c r="C15" s="66">
        <v>5502</v>
      </c>
      <c r="D15" s="66">
        <v>0</v>
      </c>
      <c r="E15" s="66">
        <v>0</v>
      </c>
      <c r="F15" s="118">
        <v>3710</v>
      </c>
      <c r="G15" s="118">
        <v>5147</v>
      </c>
      <c r="H15" s="119">
        <v>7524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118">
        <v>87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27" s="73" customFormat="1" ht="28.5" customHeight="1">
      <c r="A16" s="137" t="s">
        <v>401</v>
      </c>
      <c r="B16" s="199" t="s">
        <v>400</v>
      </c>
      <c r="C16" s="66">
        <v>4351</v>
      </c>
      <c r="D16" s="66">
        <v>0</v>
      </c>
      <c r="E16" s="66">
        <v>0</v>
      </c>
      <c r="F16" s="118">
        <v>476</v>
      </c>
      <c r="G16" s="118">
        <v>6414</v>
      </c>
      <c r="H16" s="119">
        <v>4494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118">
        <v>1168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</row>
    <row r="17" spans="1:27" s="73" customFormat="1" ht="28.5" customHeight="1">
      <c r="A17" s="137" t="s">
        <v>402</v>
      </c>
      <c r="B17" s="199" t="s">
        <v>403</v>
      </c>
      <c r="C17" s="66">
        <v>4235</v>
      </c>
      <c r="D17" s="66">
        <v>0</v>
      </c>
      <c r="E17" s="66">
        <v>0</v>
      </c>
      <c r="F17" s="118">
        <v>548</v>
      </c>
      <c r="G17" s="118">
        <v>7376</v>
      </c>
      <c r="H17" s="119">
        <v>5596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118">
        <v>140</v>
      </c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</row>
    <row r="18" spans="1:27" s="73" customFormat="1" ht="28.5" customHeight="1">
      <c r="A18" s="137" t="s">
        <v>407</v>
      </c>
      <c r="B18" s="199" t="s">
        <v>408</v>
      </c>
      <c r="C18" s="66">
        <v>4324.432</v>
      </c>
      <c r="D18" s="66">
        <v>0</v>
      </c>
      <c r="E18" s="66">
        <v>0</v>
      </c>
      <c r="F18" s="118">
        <v>888.163</v>
      </c>
      <c r="G18" s="118">
        <v>6268.823</v>
      </c>
      <c r="H18" s="119">
        <v>4234.898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118">
        <v>890.981</v>
      </c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1:27" s="73" customFormat="1" ht="28.5" customHeight="1">
      <c r="A19" s="137" t="s">
        <v>414</v>
      </c>
      <c r="B19" s="199" t="s">
        <v>415</v>
      </c>
      <c r="C19" s="66">
        <f>4594.948+162.494</f>
        <v>4757.442</v>
      </c>
      <c r="D19" s="66">
        <v>0</v>
      </c>
      <c r="E19" s="66">
        <v>0</v>
      </c>
      <c r="F19" s="118">
        <v>1667.888</v>
      </c>
      <c r="G19" s="118">
        <f>6734.445+3935.149</f>
        <v>10669.594</v>
      </c>
      <c r="H19" s="119">
        <v>5288.325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118">
        <v>1840.916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</row>
    <row r="20" spans="1:27" s="73" customFormat="1" ht="28.5" customHeight="1">
      <c r="A20" s="137" t="s">
        <v>416</v>
      </c>
      <c r="B20" s="199" t="s">
        <v>417</v>
      </c>
      <c r="C20" s="66">
        <v>4544.151</v>
      </c>
      <c r="D20" s="66">
        <v>0</v>
      </c>
      <c r="E20" s="66">
        <v>0</v>
      </c>
      <c r="F20" s="118">
        <v>1193.262</v>
      </c>
      <c r="G20" s="118">
        <f>6499.792+1061.028</f>
        <v>7560.820000000001</v>
      </c>
      <c r="H20" s="119">
        <v>7025.463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118">
        <v>2230.39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</row>
    <row r="21" spans="1:27" s="73" customFormat="1" ht="28.5" customHeight="1">
      <c r="A21" s="137" t="s">
        <v>432</v>
      </c>
      <c r="B21" s="199" t="s">
        <v>433</v>
      </c>
      <c r="C21" s="66">
        <v>4384.028</v>
      </c>
      <c r="D21" s="66">
        <v>0</v>
      </c>
      <c r="E21" s="66">
        <v>0</v>
      </c>
      <c r="F21" s="118">
        <v>1699.175</v>
      </c>
      <c r="G21" s="118">
        <v>7085.4</v>
      </c>
      <c r="H21" s="119">
        <v>6018.326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118">
        <v>1697.044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spans="1:27" s="73" customFormat="1" ht="28.5" customHeight="1">
      <c r="A22" s="137" t="s">
        <v>438</v>
      </c>
      <c r="B22" s="199" t="s">
        <v>440</v>
      </c>
      <c r="C22" s="66">
        <v>4259.19</v>
      </c>
      <c r="D22" s="66">
        <v>0</v>
      </c>
      <c r="E22" s="66">
        <v>0</v>
      </c>
      <c r="F22" s="118">
        <v>1114.736</v>
      </c>
      <c r="G22" s="118">
        <v>7058.679</v>
      </c>
      <c r="H22" s="119">
        <v>6086.966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118">
        <f>1006.59+1500</f>
        <v>2506.59</v>
      </c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</row>
    <row r="23" spans="1:27" s="73" customFormat="1" ht="28.5" customHeight="1">
      <c r="A23" s="137" t="s">
        <v>460</v>
      </c>
      <c r="B23" s="199" t="s">
        <v>461</v>
      </c>
      <c r="C23" s="66">
        <v>4718.251</v>
      </c>
      <c r="D23" s="66">
        <v>0</v>
      </c>
      <c r="E23" s="66">
        <v>0</v>
      </c>
      <c r="F23" s="118">
        <v>1241.305</v>
      </c>
      <c r="G23" s="118">
        <f>7238.443+44.648</f>
        <v>7283.091</v>
      </c>
      <c r="H23" s="119">
        <v>6172.731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118">
        <f>840.484+1490</f>
        <v>2330.484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</row>
    <row r="24" spans="1:27" s="73" customFormat="1" ht="28.5" customHeight="1">
      <c r="A24" s="137" t="s">
        <v>466</v>
      </c>
      <c r="B24" s="199" t="s">
        <v>467</v>
      </c>
      <c r="C24" s="66">
        <v>605.158</v>
      </c>
      <c r="D24" s="66">
        <v>0</v>
      </c>
      <c r="E24" s="66">
        <v>0</v>
      </c>
      <c r="F24" s="118">
        <v>1192.9</v>
      </c>
      <c r="G24" s="118">
        <f>8441.051+3748.881</f>
        <v>12189.931999999999</v>
      </c>
      <c r="H24" s="119">
        <v>6740.849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118">
        <f>736.45+1430</f>
        <v>2166.45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</row>
    <row r="25" spans="1:27" s="73" customFormat="1" ht="28.5" customHeight="1">
      <c r="A25" s="137" t="s">
        <v>501</v>
      </c>
      <c r="B25" s="199" t="s">
        <v>498</v>
      </c>
      <c r="C25" s="66">
        <v>561.131</v>
      </c>
      <c r="D25" s="66">
        <v>0</v>
      </c>
      <c r="E25" s="66">
        <v>0</v>
      </c>
      <c r="F25" s="118">
        <v>1915.77</v>
      </c>
      <c r="G25" s="118">
        <f>10701.599+3989.419</f>
        <v>14691.018</v>
      </c>
      <c r="H25" s="119">
        <v>6922.878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118">
        <f>349.1+1620</f>
        <v>1969.1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</row>
    <row r="26" spans="1:27" s="73" customFormat="1" ht="28.5" customHeight="1">
      <c r="A26" s="137" t="s">
        <v>503</v>
      </c>
      <c r="B26" s="199" t="s">
        <v>506</v>
      </c>
      <c r="C26" s="66">
        <f>775.497+1243.728</f>
        <v>2019.225</v>
      </c>
      <c r="D26" s="66">
        <v>0</v>
      </c>
      <c r="E26" s="66">
        <v>0</v>
      </c>
      <c r="F26" s="118">
        <v>2581.68</v>
      </c>
      <c r="G26" s="118">
        <v>11077.175</v>
      </c>
      <c r="H26" s="119">
        <v>7040.566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118">
        <f>336.62+2136.659</f>
        <v>2473.279</v>
      </c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1:27" s="73" customFormat="1" ht="28.5" customHeight="1">
      <c r="A27" s="137" t="s">
        <v>509</v>
      </c>
      <c r="B27" s="199" t="s">
        <v>512</v>
      </c>
      <c r="C27" s="66">
        <v>1978.116</v>
      </c>
      <c r="D27" s="66">
        <v>0</v>
      </c>
      <c r="E27" s="66">
        <v>0</v>
      </c>
      <c r="F27" s="118">
        <v>1657.145</v>
      </c>
      <c r="G27" s="118">
        <f>11281.444+600</f>
        <v>11881.444</v>
      </c>
      <c r="H27" s="119">
        <v>7182.713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118">
        <f>790.318+2200</f>
        <v>2990.318</v>
      </c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</row>
    <row r="28" spans="1:27" s="73" customFormat="1" ht="28.5" customHeight="1">
      <c r="A28" s="137" t="s">
        <v>520</v>
      </c>
      <c r="B28" s="199" t="s">
        <v>521</v>
      </c>
      <c r="C28" s="66">
        <v>1948.74</v>
      </c>
      <c r="D28" s="66">
        <v>0</v>
      </c>
      <c r="E28" s="66">
        <v>0</v>
      </c>
      <c r="F28" s="118">
        <v>1607.149</v>
      </c>
      <c r="G28" s="118">
        <f>11535.845+869.59</f>
        <v>12405.435</v>
      </c>
      <c r="H28" s="119">
        <v>7173.596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118">
        <f>944.265+2100</f>
        <v>3044.265</v>
      </c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spans="1:27" s="73" customFormat="1" ht="28.5" customHeight="1" thickBot="1">
      <c r="A29" s="53" t="s">
        <v>10</v>
      </c>
      <c r="B29" s="60"/>
      <c r="C29" s="68" t="s">
        <v>10</v>
      </c>
      <c r="D29" s="68" t="s">
        <v>10</v>
      </c>
      <c r="E29" s="68" t="s">
        <v>10</v>
      </c>
      <c r="F29" s="124" t="s">
        <v>10</v>
      </c>
      <c r="G29" s="124" t="s">
        <v>10</v>
      </c>
      <c r="H29" s="124" t="s">
        <v>10</v>
      </c>
      <c r="I29" s="68" t="s">
        <v>10</v>
      </c>
      <c r="J29" s="68"/>
      <c r="K29" s="68" t="s">
        <v>10</v>
      </c>
      <c r="L29" s="68" t="s">
        <v>10</v>
      </c>
      <c r="M29" s="68" t="s">
        <v>10</v>
      </c>
      <c r="N29" s="68" t="s">
        <v>10</v>
      </c>
      <c r="O29" s="124" t="s">
        <v>10</v>
      </c>
      <c r="P29" s="72" t="s">
        <v>10</v>
      </c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spans="1:15" ht="17.25" customHeight="1">
      <c r="A30" s="38" t="s">
        <v>298</v>
      </c>
      <c r="B30" s="108"/>
      <c r="C30" s="95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110"/>
    </row>
    <row r="31" spans="1:15" ht="17.25" customHeight="1">
      <c r="A31" s="38" t="s">
        <v>297</v>
      </c>
      <c r="B31" s="108"/>
      <c r="C31" s="9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/>
      <c r="O31" s="110"/>
    </row>
    <row r="32" spans="1:15" ht="15.75">
      <c r="A32" s="38"/>
      <c r="B32" s="38"/>
      <c r="C32" s="95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O32" s="110"/>
    </row>
    <row r="33" spans="1:15" ht="15.75">
      <c r="A33" s="38"/>
      <c r="B33" s="38"/>
      <c r="C33" s="109"/>
      <c r="D33" s="95"/>
      <c r="E33" s="95"/>
      <c r="F33" s="95"/>
      <c r="G33" s="95"/>
      <c r="H33" s="95"/>
      <c r="I33" s="109"/>
      <c r="J33" s="109"/>
      <c r="K33" s="110"/>
      <c r="L33" s="109"/>
      <c r="M33" s="109"/>
      <c r="N33" s="109"/>
      <c r="O33" s="109"/>
    </row>
    <row r="34" spans="3:15" ht="15.75">
      <c r="C34" s="109"/>
      <c r="D34" s="95"/>
      <c r="E34" s="95"/>
      <c r="F34" s="95"/>
      <c r="G34" s="95"/>
      <c r="H34" s="95"/>
      <c r="I34" s="109"/>
      <c r="J34" s="109"/>
      <c r="K34" s="110"/>
      <c r="L34" s="109"/>
      <c r="M34" s="109"/>
      <c r="N34" s="109"/>
      <c r="O34" s="109"/>
    </row>
    <row r="35" spans="1:15" ht="15.75">
      <c r="A35" s="101"/>
      <c r="B35" s="101"/>
      <c r="C35" s="102"/>
      <c r="D35" s="102"/>
      <c r="E35" s="102"/>
      <c r="F35" s="102"/>
      <c r="G35" s="102"/>
      <c r="H35" s="102"/>
      <c r="I35" s="101"/>
      <c r="J35" s="102"/>
      <c r="K35" s="102"/>
      <c r="L35" s="102"/>
      <c r="M35" s="102"/>
      <c r="N35" s="102"/>
      <c r="O35" s="102"/>
    </row>
    <row r="36" spans="3:15" ht="15.75">
      <c r="C36" s="102"/>
      <c r="D36" s="102"/>
      <c r="E36" s="102"/>
      <c r="F36" s="102"/>
      <c r="G36" s="102"/>
      <c r="I36" s="101"/>
      <c r="J36" s="102"/>
      <c r="K36" s="102"/>
      <c r="L36" s="102"/>
      <c r="M36" s="102"/>
      <c r="N36" s="102"/>
      <c r="O36" s="10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4"/>
  <sheetViews>
    <sheetView zoomScalePageLayoutView="0" workbookViewId="0" topLeftCell="A1">
      <pane ySplit="9" topLeftCell="A23" activePane="bottomLeft" state="frozen"/>
      <selection pane="topLeft" activeCell="A1" sqref="A1"/>
      <selection pane="bottomLeft" activeCell="A40" sqref="A40:IV40"/>
    </sheetView>
  </sheetViews>
  <sheetFormatPr defaultColWidth="9.00390625" defaultRowHeight="16.5"/>
  <cols>
    <col min="1" max="1" width="9.875" style="52" customWidth="1"/>
    <col min="2" max="2" width="5.25390625" style="52" customWidth="1"/>
    <col min="3" max="3" width="8.625" style="65" customWidth="1"/>
    <col min="4" max="4" width="8.00390625" style="65" customWidth="1"/>
    <col min="5" max="5" width="8.125" style="65" customWidth="1"/>
    <col min="6" max="6" width="7.75390625" style="65" customWidth="1"/>
    <col min="7" max="7" width="6.25390625" style="65" customWidth="1"/>
    <col min="8" max="8" width="6.375" style="65" customWidth="1"/>
    <col min="9" max="9" width="7.25390625" style="65" customWidth="1"/>
    <col min="10" max="10" width="7.50390625" style="65" customWidth="1"/>
    <col min="11" max="11" width="5.50390625" style="65" customWidth="1"/>
    <col min="12" max="12" width="6.25390625" style="65" customWidth="1"/>
    <col min="13" max="13" width="8.625" style="65" customWidth="1"/>
    <col min="14" max="14" width="8.375" style="65" customWidth="1"/>
    <col min="15" max="15" width="7.75390625" style="65" customWidth="1"/>
    <col min="16" max="17" width="8.625" style="65" customWidth="1"/>
    <col min="18" max="18" width="8.75390625" style="65" customWidth="1"/>
    <col min="19" max="19" width="8.625" style="65" customWidth="1"/>
    <col min="20" max="20" width="9.25390625" style="65" customWidth="1"/>
    <col min="21" max="21" width="9.375" style="65" customWidth="1"/>
    <col min="22" max="22" width="8.50390625" style="65" customWidth="1"/>
    <col min="23" max="23" width="9.875" style="52" customWidth="1"/>
    <col min="24" max="24" width="5.25390625" style="52" customWidth="1"/>
    <col min="25" max="25" width="9.25390625" style="65" customWidth="1"/>
    <col min="26" max="26" width="10.00390625" style="65" customWidth="1"/>
    <col min="27" max="27" width="10.25390625" style="65" customWidth="1"/>
    <col min="28" max="28" width="8.75390625" style="65" customWidth="1"/>
    <col min="29" max="29" width="6.125" style="65" customWidth="1"/>
    <col min="30" max="30" width="9.125" style="65" bestFit="1" customWidth="1"/>
    <col min="31" max="31" width="9.625" style="65" customWidth="1"/>
    <col min="32" max="32" width="8.25390625" style="65" customWidth="1"/>
    <col min="33" max="33" width="12.75390625" style="65" customWidth="1"/>
    <col min="34" max="34" width="13.375" style="65" customWidth="1"/>
    <col min="35" max="35" width="13.00390625" style="65" customWidth="1"/>
    <col min="36" max="36" width="16.00390625" style="65" customWidth="1"/>
    <col min="37" max="37" width="15.625" style="65" customWidth="1"/>
    <col min="38" max="38" width="15.875" style="65" customWidth="1"/>
    <col min="39" max="16384" width="9.00390625" style="65" customWidth="1"/>
  </cols>
  <sheetData>
    <row r="1" spans="1:38" s="40" customFormat="1" ht="19.5" customHeight="1">
      <c r="A1" s="3" t="s">
        <v>443</v>
      </c>
      <c r="B1" s="125"/>
      <c r="H1" s="339"/>
      <c r="I1" s="339"/>
      <c r="N1" s="41"/>
      <c r="P1" s="339"/>
      <c r="Q1" s="339"/>
      <c r="U1" s="339" t="s">
        <v>444</v>
      </c>
      <c r="V1" s="339"/>
      <c r="W1" s="3" t="s">
        <v>445</v>
      </c>
      <c r="X1" s="125"/>
      <c r="AK1" s="339" t="s">
        <v>446</v>
      </c>
      <c r="AL1" s="339"/>
    </row>
    <row r="2" spans="1:38" s="43" customFormat="1" ht="23.25" customHeight="1">
      <c r="A2" s="42"/>
      <c r="B2" s="145" t="s">
        <v>493</v>
      </c>
      <c r="C2" s="81"/>
      <c r="D2" s="81"/>
      <c r="E2" s="81"/>
      <c r="F2" s="81"/>
      <c r="G2" s="145"/>
      <c r="H2" s="81"/>
      <c r="I2" s="81"/>
      <c r="J2" s="146"/>
      <c r="K2" s="147"/>
      <c r="L2" s="44"/>
      <c r="M2" s="40"/>
      <c r="N2" s="167" t="s">
        <v>192</v>
      </c>
      <c r="O2" s="147"/>
      <c r="P2" s="146"/>
      <c r="Q2" s="146"/>
      <c r="R2" s="56"/>
      <c r="S2" s="56"/>
      <c r="T2" s="45"/>
      <c r="U2" s="45"/>
      <c r="V2" s="45"/>
      <c r="W2" s="42"/>
      <c r="X2" s="145" t="s">
        <v>492</v>
      </c>
      <c r="Y2" s="81"/>
      <c r="Z2" s="145"/>
      <c r="AA2" s="81"/>
      <c r="AB2" s="81"/>
      <c r="AC2" s="81"/>
      <c r="AD2" s="146"/>
      <c r="AG2" s="145" t="s">
        <v>193</v>
      </c>
      <c r="AH2" s="81"/>
      <c r="AI2" s="81"/>
      <c r="AJ2" s="81"/>
      <c r="AK2" s="81"/>
      <c r="AL2" s="146"/>
    </row>
    <row r="3" spans="1:38" s="47" customFormat="1" ht="19.5" customHeight="1">
      <c r="A3" s="46"/>
      <c r="B3" s="86" t="s">
        <v>120</v>
      </c>
      <c r="C3" s="86"/>
      <c r="D3" s="86"/>
      <c r="E3" s="86"/>
      <c r="F3" s="86"/>
      <c r="G3" s="86"/>
      <c r="H3" s="86"/>
      <c r="I3" s="86"/>
      <c r="J3" s="86"/>
      <c r="K3" s="86"/>
      <c r="L3" s="48"/>
      <c r="M3" s="48"/>
      <c r="N3" s="168" t="s">
        <v>190</v>
      </c>
      <c r="O3" s="86"/>
      <c r="P3" s="166"/>
      <c r="Q3" s="166"/>
      <c r="R3" s="51"/>
      <c r="S3" s="51"/>
      <c r="T3" s="51"/>
      <c r="U3" s="51"/>
      <c r="V3" s="51"/>
      <c r="W3" s="46"/>
      <c r="X3" s="86" t="s">
        <v>120</v>
      </c>
      <c r="Y3" s="86"/>
      <c r="Z3" s="86"/>
      <c r="AA3" s="86"/>
      <c r="AB3" s="86"/>
      <c r="AC3" s="86"/>
      <c r="AD3" s="86"/>
      <c r="AG3" s="86" t="s">
        <v>190</v>
      </c>
      <c r="AH3" s="86"/>
      <c r="AI3" s="86"/>
      <c r="AJ3" s="86"/>
      <c r="AK3" s="86"/>
      <c r="AL3" s="49"/>
    </row>
    <row r="4" spans="1:38" s="40" customFormat="1" ht="15.75" customHeight="1" thickBot="1">
      <c r="A4" s="143" t="s">
        <v>123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38"/>
      <c r="Q4" s="338"/>
      <c r="R4" s="54"/>
      <c r="S4" s="54"/>
      <c r="T4" s="54"/>
      <c r="U4" s="54"/>
      <c r="V4" s="144" t="s">
        <v>124</v>
      </c>
      <c r="W4" s="143" t="s">
        <v>123</v>
      </c>
      <c r="X4" s="53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344" t="s">
        <v>114</v>
      </c>
      <c r="AL4" s="344"/>
    </row>
    <row r="5" spans="1:38" s="40" customFormat="1" ht="18" customHeight="1">
      <c r="A5" s="328" t="s">
        <v>74</v>
      </c>
      <c r="B5" s="329"/>
      <c r="C5" s="337" t="s">
        <v>13</v>
      </c>
      <c r="D5" s="55" t="s">
        <v>122</v>
      </c>
      <c r="E5" s="55"/>
      <c r="F5" s="55"/>
      <c r="G5" s="55"/>
      <c r="H5" s="148"/>
      <c r="I5" s="55"/>
      <c r="J5" s="55"/>
      <c r="K5" s="55"/>
      <c r="L5" s="55"/>
      <c r="M5" s="142" t="s">
        <v>121</v>
      </c>
      <c r="N5" s="55"/>
      <c r="O5" s="55"/>
      <c r="P5" s="55"/>
      <c r="Q5" s="148"/>
      <c r="R5" s="55"/>
      <c r="S5" s="55"/>
      <c r="T5" s="55"/>
      <c r="U5" s="55"/>
      <c r="V5" s="55"/>
      <c r="W5" s="328" t="s">
        <v>74</v>
      </c>
      <c r="X5" s="329"/>
      <c r="Y5" s="55" t="s">
        <v>164</v>
      </c>
      <c r="Z5" s="55"/>
      <c r="AA5" s="148"/>
      <c r="AB5" s="148"/>
      <c r="AC5" s="57"/>
      <c r="AD5" s="55"/>
      <c r="AE5" s="55"/>
      <c r="AF5" s="55" t="s">
        <v>12</v>
      </c>
      <c r="AG5" s="55"/>
      <c r="AH5" s="55"/>
      <c r="AI5" s="165"/>
      <c r="AJ5" s="342" t="s">
        <v>37</v>
      </c>
      <c r="AK5" s="337" t="s">
        <v>38</v>
      </c>
      <c r="AL5" s="340" t="s">
        <v>35</v>
      </c>
    </row>
    <row r="6" spans="1:38" s="40" customFormat="1" ht="18" customHeight="1">
      <c r="A6" s="330"/>
      <c r="B6" s="331"/>
      <c r="C6" s="323"/>
      <c r="D6" s="313" t="s">
        <v>125</v>
      </c>
      <c r="E6" s="314"/>
      <c r="F6" s="314"/>
      <c r="G6" s="314"/>
      <c r="H6" s="315"/>
      <c r="I6" s="313" t="s">
        <v>126</v>
      </c>
      <c r="J6" s="314"/>
      <c r="K6" s="314"/>
      <c r="L6" s="315"/>
      <c r="M6" s="314" t="s">
        <v>129</v>
      </c>
      <c r="N6" s="314"/>
      <c r="O6" s="314"/>
      <c r="P6" s="314"/>
      <c r="Q6" s="315"/>
      <c r="R6" s="314" t="s">
        <v>130</v>
      </c>
      <c r="S6" s="314"/>
      <c r="T6" s="314"/>
      <c r="U6" s="314"/>
      <c r="V6" s="314"/>
      <c r="W6" s="330"/>
      <c r="X6" s="331"/>
      <c r="Y6" s="313" t="s">
        <v>170</v>
      </c>
      <c r="Z6" s="314"/>
      <c r="AA6" s="315"/>
      <c r="AB6" s="322" t="s">
        <v>36</v>
      </c>
      <c r="AC6" s="316" t="s">
        <v>171</v>
      </c>
      <c r="AD6" s="317"/>
      <c r="AE6" s="318"/>
      <c r="AF6" s="309" t="s">
        <v>169</v>
      </c>
      <c r="AG6" s="314" t="s">
        <v>168</v>
      </c>
      <c r="AH6" s="314"/>
      <c r="AI6" s="315"/>
      <c r="AJ6" s="343"/>
      <c r="AK6" s="323"/>
      <c r="AL6" s="341"/>
    </row>
    <row r="7" spans="1:38" s="40" customFormat="1" ht="24" customHeight="1">
      <c r="A7" s="330"/>
      <c r="B7" s="331"/>
      <c r="C7" s="323"/>
      <c r="D7" s="336" t="s">
        <v>132</v>
      </c>
      <c r="E7" s="311"/>
      <c r="F7" s="311"/>
      <c r="G7" s="311"/>
      <c r="H7" s="312"/>
      <c r="I7" s="336" t="s">
        <v>133</v>
      </c>
      <c r="J7" s="311"/>
      <c r="K7" s="311"/>
      <c r="L7" s="312"/>
      <c r="M7" s="327" t="s">
        <v>134</v>
      </c>
      <c r="N7" s="311"/>
      <c r="O7" s="311"/>
      <c r="P7" s="311"/>
      <c r="Q7" s="312"/>
      <c r="R7" s="327" t="s">
        <v>135</v>
      </c>
      <c r="S7" s="311"/>
      <c r="T7" s="311"/>
      <c r="U7" s="311"/>
      <c r="V7" s="311"/>
      <c r="W7" s="330"/>
      <c r="X7" s="331"/>
      <c r="Y7" s="324" t="s">
        <v>176</v>
      </c>
      <c r="Z7" s="325"/>
      <c r="AA7" s="326"/>
      <c r="AB7" s="323"/>
      <c r="AC7" s="319" t="s">
        <v>177</v>
      </c>
      <c r="AD7" s="320"/>
      <c r="AE7" s="321"/>
      <c r="AF7" s="310"/>
      <c r="AG7" s="311"/>
      <c r="AH7" s="311"/>
      <c r="AI7" s="312"/>
      <c r="AJ7" s="343"/>
      <c r="AK7" s="323"/>
      <c r="AL7" s="341"/>
    </row>
    <row r="8" spans="1:38" s="40" customFormat="1" ht="26.25" customHeight="1">
      <c r="A8" s="332" t="s">
        <v>131</v>
      </c>
      <c r="B8" s="333"/>
      <c r="C8" s="323"/>
      <c r="D8" s="149" t="s">
        <v>127</v>
      </c>
      <c r="E8" s="156" t="s">
        <v>513</v>
      </c>
      <c r="F8" s="156" t="s">
        <v>140</v>
      </c>
      <c r="G8" s="156" t="s">
        <v>141</v>
      </c>
      <c r="H8" s="155" t="s">
        <v>142</v>
      </c>
      <c r="I8" s="149" t="s">
        <v>128</v>
      </c>
      <c r="J8" s="156" t="s">
        <v>191</v>
      </c>
      <c r="K8" s="156" t="s">
        <v>143</v>
      </c>
      <c r="L8" s="156" t="s">
        <v>144</v>
      </c>
      <c r="M8" s="139" t="s">
        <v>127</v>
      </c>
      <c r="N8" s="156" t="s">
        <v>396</v>
      </c>
      <c r="O8" s="156" t="s">
        <v>397</v>
      </c>
      <c r="P8" s="156" t="s">
        <v>398</v>
      </c>
      <c r="Q8" s="156" t="s">
        <v>47</v>
      </c>
      <c r="R8" s="149" t="s">
        <v>127</v>
      </c>
      <c r="S8" s="156" t="s">
        <v>29</v>
      </c>
      <c r="T8" s="156" t="s">
        <v>28</v>
      </c>
      <c r="U8" s="156" t="s">
        <v>48</v>
      </c>
      <c r="V8" s="157" t="s">
        <v>49</v>
      </c>
      <c r="W8" s="332" t="s">
        <v>131</v>
      </c>
      <c r="X8" s="333"/>
      <c r="Y8" s="161" t="s">
        <v>172</v>
      </c>
      <c r="Z8" s="162" t="s">
        <v>174</v>
      </c>
      <c r="AA8" s="162" t="s">
        <v>173</v>
      </c>
      <c r="AB8" s="323"/>
      <c r="AC8" s="160" t="s">
        <v>127</v>
      </c>
      <c r="AD8" s="215" t="s">
        <v>50</v>
      </c>
      <c r="AE8" s="203" t="s">
        <v>175</v>
      </c>
      <c r="AF8" s="310"/>
      <c r="AG8" s="59" t="s">
        <v>165</v>
      </c>
      <c r="AH8" s="59" t="s">
        <v>166</v>
      </c>
      <c r="AI8" s="59" t="s">
        <v>167</v>
      </c>
      <c r="AJ8" s="343"/>
      <c r="AK8" s="323"/>
      <c r="AL8" s="341"/>
    </row>
    <row r="9" spans="1:38" s="62" customFormat="1" ht="78" customHeight="1" thickBot="1">
      <c r="A9" s="334"/>
      <c r="B9" s="335"/>
      <c r="C9" s="151" t="s">
        <v>77</v>
      </c>
      <c r="D9" s="152" t="s">
        <v>78</v>
      </c>
      <c r="E9" s="153" t="s">
        <v>136</v>
      </c>
      <c r="F9" s="152" t="s">
        <v>137</v>
      </c>
      <c r="G9" s="152" t="s">
        <v>138</v>
      </c>
      <c r="H9" s="154" t="s">
        <v>139</v>
      </c>
      <c r="I9" s="152" t="s">
        <v>145</v>
      </c>
      <c r="J9" s="152" t="s">
        <v>146</v>
      </c>
      <c r="K9" s="152" t="s">
        <v>147</v>
      </c>
      <c r="L9" s="152" t="s">
        <v>148</v>
      </c>
      <c r="M9" s="152" t="s">
        <v>145</v>
      </c>
      <c r="N9" s="152" t="s">
        <v>149</v>
      </c>
      <c r="O9" s="152" t="s">
        <v>150</v>
      </c>
      <c r="P9" s="152" t="s">
        <v>151</v>
      </c>
      <c r="Q9" s="154" t="s">
        <v>152</v>
      </c>
      <c r="R9" s="152" t="s">
        <v>153</v>
      </c>
      <c r="S9" s="152" t="s">
        <v>154</v>
      </c>
      <c r="T9" s="152" t="s">
        <v>155</v>
      </c>
      <c r="U9" s="152" t="s">
        <v>156</v>
      </c>
      <c r="V9" s="164" t="s">
        <v>157</v>
      </c>
      <c r="W9" s="334"/>
      <c r="X9" s="335"/>
      <c r="Y9" s="152" t="s">
        <v>78</v>
      </c>
      <c r="Z9" s="152" t="s">
        <v>178</v>
      </c>
      <c r="AA9" s="154" t="s">
        <v>179</v>
      </c>
      <c r="AB9" s="152" t="s">
        <v>180</v>
      </c>
      <c r="AC9" s="163" t="s">
        <v>181</v>
      </c>
      <c r="AD9" s="152" t="s">
        <v>182</v>
      </c>
      <c r="AE9" s="152" t="s">
        <v>183</v>
      </c>
      <c r="AF9" s="152" t="s">
        <v>184</v>
      </c>
      <c r="AG9" s="152" t="s">
        <v>185</v>
      </c>
      <c r="AH9" s="61"/>
      <c r="AI9" s="152" t="s">
        <v>186</v>
      </c>
      <c r="AJ9" s="154" t="s">
        <v>187</v>
      </c>
      <c r="AK9" s="154" t="s">
        <v>188</v>
      </c>
      <c r="AL9" s="164" t="s">
        <v>189</v>
      </c>
    </row>
    <row r="10" spans="1:44" ht="19.5" customHeight="1" hidden="1">
      <c r="A10" s="76" t="s">
        <v>310</v>
      </c>
      <c r="B10" s="208" t="s">
        <v>315</v>
      </c>
      <c r="C10" s="140">
        <f aca="true" t="shared" si="0" ref="C10:C16">SUM(D10,I10,M10,R10,Y10,AB10,AC10,AF10,AI10,AJ10,AK10)</f>
        <v>82248</v>
      </c>
      <c r="D10" s="140">
        <f aca="true" t="shared" si="1" ref="D10:D16">SUM(E10:H10)</f>
        <v>46406</v>
      </c>
      <c r="E10" s="140">
        <v>10865</v>
      </c>
      <c r="F10" s="140">
        <v>29834</v>
      </c>
      <c r="G10" s="140">
        <v>5681</v>
      </c>
      <c r="H10" s="140">
        <v>26</v>
      </c>
      <c r="I10" s="140">
        <f aca="true" t="shared" si="2" ref="I10:I16">SUM(J10:L10)</f>
        <v>443</v>
      </c>
      <c r="J10" s="140">
        <v>200</v>
      </c>
      <c r="K10" s="140">
        <v>0</v>
      </c>
      <c r="L10" s="140">
        <v>243</v>
      </c>
      <c r="M10" s="140">
        <f aca="true" t="shared" si="3" ref="M10:M16">SUM(N10:Q10)</f>
        <v>8671</v>
      </c>
      <c r="N10" s="140">
        <v>440</v>
      </c>
      <c r="O10" s="140">
        <v>0</v>
      </c>
      <c r="P10" s="140">
        <v>7827</v>
      </c>
      <c r="Q10" s="140">
        <v>404</v>
      </c>
      <c r="R10" s="140">
        <f aca="true" t="shared" si="4" ref="R10:R16">SUM(S10:V10)</f>
        <v>4298</v>
      </c>
      <c r="S10" s="140">
        <v>0</v>
      </c>
      <c r="T10" s="140">
        <v>471</v>
      </c>
      <c r="U10" s="140">
        <v>3827</v>
      </c>
      <c r="V10" s="140">
        <v>0</v>
      </c>
      <c r="W10" s="76" t="s">
        <v>314</v>
      </c>
      <c r="X10" s="208" t="s">
        <v>315</v>
      </c>
      <c r="Y10" s="140">
        <f aca="true" t="shared" si="5" ref="Y10:Y16">SUM(Z10:AA10)</f>
        <v>2342</v>
      </c>
      <c r="Z10" s="140">
        <v>1</v>
      </c>
      <c r="AA10" s="140">
        <v>2341</v>
      </c>
      <c r="AB10" s="140">
        <v>5534</v>
      </c>
      <c r="AC10" s="225">
        <f aca="true" t="shared" si="6" ref="AC10:AC20">SUM(AD10:AE10)</f>
        <v>0</v>
      </c>
      <c r="AD10" s="140">
        <v>0</v>
      </c>
      <c r="AE10" s="140">
        <v>0</v>
      </c>
      <c r="AF10" s="140">
        <v>0</v>
      </c>
      <c r="AG10" s="225">
        <f aca="true" t="shared" si="7" ref="AG10:AG16">SUM(AH10:AI10)</f>
        <v>14</v>
      </c>
      <c r="AH10" s="140">
        <v>0</v>
      </c>
      <c r="AI10" s="140">
        <v>14</v>
      </c>
      <c r="AJ10" s="140">
        <v>14540</v>
      </c>
      <c r="AK10" s="140">
        <v>0</v>
      </c>
      <c r="AL10" s="140">
        <v>13998</v>
      </c>
      <c r="AM10" s="63"/>
      <c r="AN10" s="63" t="s">
        <v>51</v>
      </c>
      <c r="AO10" s="63"/>
      <c r="AP10" s="63"/>
      <c r="AQ10" s="63"/>
      <c r="AR10" s="66"/>
    </row>
    <row r="11" spans="1:44" ht="19.5" customHeight="1" hidden="1">
      <c r="A11" s="76" t="s">
        <v>311</v>
      </c>
      <c r="B11" s="208" t="s">
        <v>317</v>
      </c>
      <c r="C11" s="140">
        <f t="shared" si="0"/>
        <v>75031</v>
      </c>
      <c r="D11" s="140">
        <f t="shared" si="1"/>
        <v>51890</v>
      </c>
      <c r="E11" s="140">
        <v>11520</v>
      </c>
      <c r="F11" s="140">
        <v>32958</v>
      </c>
      <c r="G11" s="140">
        <v>7343</v>
      </c>
      <c r="H11" s="140">
        <v>69</v>
      </c>
      <c r="I11" s="140">
        <f t="shared" si="2"/>
        <v>655</v>
      </c>
      <c r="J11" s="140">
        <v>355</v>
      </c>
      <c r="K11" s="140">
        <v>0</v>
      </c>
      <c r="L11" s="140">
        <v>300</v>
      </c>
      <c r="M11" s="140">
        <f t="shared" si="3"/>
        <v>5271</v>
      </c>
      <c r="N11" s="140">
        <v>973</v>
      </c>
      <c r="O11" s="140">
        <v>0</v>
      </c>
      <c r="P11" s="140">
        <v>3843</v>
      </c>
      <c r="Q11" s="140">
        <v>455</v>
      </c>
      <c r="R11" s="140">
        <f t="shared" si="4"/>
        <v>4467</v>
      </c>
      <c r="S11" s="140">
        <v>0</v>
      </c>
      <c r="T11" s="140">
        <v>292</v>
      </c>
      <c r="U11" s="140">
        <v>4175</v>
      </c>
      <c r="V11" s="140">
        <v>0</v>
      </c>
      <c r="W11" s="76" t="s">
        <v>316</v>
      </c>
      <c r="X11" s="208" t="s">
        <v>317</v>
      </c>
      <c r="Y11" s="140">
        <f t="shared" si="5"/>
        <v>3019</v>
      </c>
      <c r="Z11" s="140">
        <v>32</v>
      </c>
      <c r="AA11" s="140">
        <v>2987</v>
      </c>
      <c r="AB11" s="140">
        <v>4295</v>
      </c>
      <c r="AC11" s="225">
        <f t="shared" si="6"/>
        <v>0</v>
      </c>
      <c r="AD11" s="140">
        <v>0</v>
      </c>
      <c r="AE11" s="140">
        <v>0</v>
      </c>
      <c r="AF11" s="140">
        <v>0</v>
      </c>
      <c r="AG11" s="225">
        <f t="shared" si="7"/>
        <v>200</v>
      </c>
      <c r="AH11" s="140">
        <v>0</v>
      </c>
      <c r="AI11" s="140">
        <v>200</v>
      </c>
      <c r="AJ11" s="140">
        <v>5234</v>
      </c>
      <c r="AK11" s="140">
        <v>0</v>
      </c>
      <c r="AL11" s="140">
        <v>34103</v>
      </c>
      <c r="AM11" s="63"/>
      <c r="AN11" s="63"/>
      <c r="AO11" s="63"/>
      <c r="AP11" s="63"/>
      <c r="AQ11" s="63"/>
      <c r="AR11" s="66"/>
    </row>
    <row r="12" spans="1:44" ht="19.5" customHeight="1" hidden="1">
      <c r="A12" s="76" t="s">
        <v>312</v>
      </c>
      <c r="B12" s="208" t="s">
        <v>319</v>
      </c>
      <c r="C12" s="140">
        <f t="shared" si="0"/>
        <v>104941</v>
      </c>
      <c r="D12" s="140">
        <f t="shared" si="1"/>
        <v>51811</v>
      </c>
      <c r="E12" s="140">
        <v>12073</v>
      </c>
      <c r="F12" s="140">
        <v>34027</v>
      </c>
      <c r="G12" s="140">
        <v>5585</v>
      </c>
      <c r="H12" s="140">
        <v>126</v>
      </c>
      <c r="I12" s="140">
        <f t="shared" si="2"/>
        <v>705</v>
      </c>
      <c r="J12" s="140">
        <v>409</v>
      </c>
      <c r="K12" s="140">
        <v>0</v>
      </c>
      <c r="L12" s="140">
        <v>296</v>
      </c>
      <c r="M12" s="140">
        <f t="shared" si="3"/>
        <v>17498</v>
      </c>
      <c r="N12" s="140">
        <v>2218</v>
      </c>
      <c r="O12" s="140">
        <v>0</v>
      </c>
      <c r="P12" s="140">
        <v>14424</v>
      </c>
      <c r="Q12" s="140">
        <v>856</v>
      </c>
      <c r="R12" s="140">
        <f t="shared" si="4"/>
        <v>4779</v>
      </c>
      <c r="S12" s="140">
        <v>10</v>
      </c>
      <c r="T12" s="140">
        <v>422</v>
      </c>
      <c r="U12" s="140">
        <v>4347</v>
      </c>
      <c r="V12" s="140">
        <v>0</v>
      </c>
      <c r="W12" s="76" t="s">
        <v>318</v>
      </c>
      <c r="X12" s="208" t="s">
        <v>319</v>
      </c>
      <c r="Y12" s="140">
        <f t="shared" si="5"/>
        <v>3177</v>
      </c>
      <c r="Z12" s="140">
        <v>164</v>
      </c>
      <c r="AA12" s="140">
        <v>3013</v>
      </c>
      <c r="AB12" s="140">
        <v>4230</v>
      </c>
      <c r="AC12" s="225">
        <f t="shared" si="6"/>
        <v>0</v>
      </c>
      <c r="AD12" s="140">
        <v>0</v>
      </c>
      <c r="AE12" s="140">
        <v>0</v>
      </c>
      <c r="AF12" s="140">
        <v>0</v>
      </c>
      <c r="AG12" s="225">
        <f t="shared" si="7"/>
        <v>2</v>
      </c>
      <c r="AH12" s="140">
        <v>0</v>
      </c>
      <c r="AI12" s="140">
        <v>2</v>
      </c>
      <c r="AJ12" s="140">
        <v>22739</v>
      </c>
      <c r="AK12" s="140">
        <v>0</v>
      </c>
      <c r="AL12" s="140">
        <v>83312</v>
      </c>
      <c r="AM12" s="63"/>
      <c r="AN12" s="63"/>
      <c r="AO12" s="63"/>
      <c r="AP12" s="63"/>
      <c r="AQ12" s="63"/>
      <c r="AR12" s="66"/>
    </row>
    <row r="13" spans="1:44" ht="19.5" customHeight="1" hidden="1">
      <c r="A13" s="76" t="s">
        <v>307</v>
      </c>
      <c r="B13" s="208" t="s">
        <v>308</v>
      </c>
      <c r="C13" s="140">
        <f t="shared" si="0"/>
        <v>202646</v>
      </c>
      <c r="D13" s="140">
        <f t="shared" si="1"/>
        <v>53853</v>
      </c>
      <c r="E13" s="140">
        <v>12273</v>
      </c>
      <c r="F13" s="140">
        <v>34118</v>
      </c>
      <c r="G13" s="140">
        <v>7325</v>
      </c>
      <c r="H13" s="140">
        <v>137</v>
      </c>
      <c r="I13" s="140">
        <f t="shared" si="2"/>
        <v>1657</v>
      </c>
      <c r="J13" s="140">
        <v>1346</v>
      </c>
      <c r="K13" s="140">
        <v>0</v>
      </c>
      <c r="L13" s="140">
        <v>311</v>
      </c>
      <c r="M13" s="140">
        <f t="shared" si="3"/>
        <v>38546</v>
      </c>
      <c r="N13" s="140">
        <v>2864</v>
      </c>
      <c r="O13" s="140">
        <v>0</v>
      </c>
      <c r="P13" s="140">
        <v>34991</v>
      </c>
      <c r="Q13" s="140">
        <v>691</v>
      </c>
      <c r="R13" s="140">
        <f t="shared" si="4"/>
        <v>5071</v>
      </c>
      <c r="S13" s="140">
        <v>21</v>
      </c>
      <c r="T13" s="140">
        <v>318</v>
      </c>
      <c r="U13" s="140">
        <v>4732</v>
      </c>
      <c r="V13" s="140">
        <v>0</v>
      </c>
      <c r="W13" s="76" t="s">
        <v>307</v>
      </c>
      <c r="X13" s="208" t="s">
        <v>308</v>
      </c>
      <c r="Y13" s="140">
        <f t="shared" si="5"/>
        <v>6038</v>
      </c>
      <c r="Z13" s="140">
        <v>190</v>
      </c>
      <c r="AA13" s="140">
        <v>5848</v>
      </c>
      <c r="AB13" s="140">
        <v>5967</v>
      </c>
      <c r="AC13" s="225">
        <f t="shared" si="6"/>
        <v>0</v>
      </c>
      <c r="AD13" s="140">
        <v>0</v>
      </c>
      <c r="AE13" s="140">
        <v>0</v>
      </c>
      <c r="AF13" s="140">
        <v>0</v>
      </c>
      <c r="AG13" s="225">
        <f t="shared" si="7"/>
        <v>1088</v>
      </c>
      <c r="AH13" s="140">
        <v>0</v>
      </c>
      <c r="AI13" s="140">
        <v>1088</v>
      </c>
      <c r="AJ13" s="140">
        <v>90426</v>
      </c>
      <c r="AK13" s="140">
        <v>0</v>
      </c>
      <c r="AL13" s="140">
        <v>86108</v>
      </c>
      <c r="AM13" s="63"/>
      <c r="AN13" s="63"/>
      <c r="AO13" s="63"/>
      <c r="AP13" s="63"/>
      <c r="AQ13" s="63"/>
      <c r="AR13" s="66"/>
    </row>
    <row r="14" spans="1:44" ht="19.5" customHeight="1">
      <c r="A14" s="76" t="s">
        <v>313</v>
      </c>
      <c r="B14" s="208" t="s">
        <v>309</v>
      </c>
      <c r="C14" s="140">
        <f t="shared" si="0"/>
        <v>131524</v>
      </c>
      <c r="D14" s="140">
        <f t="shared" si="1"/>
        <v>56123</v>
      </c>
      <c r="E14" s="140">
        <v>13374</v>
      </c>
      <c r="F14" s="140">
        <v>34449</v>
      </c>
      <c r="G14" s="140">
        <v>8208</v>
      </c>
      <c r="H14" s="140">
        <v>92</v>
      </c>
      <c r="I14" s="140">
        <f t="shared" si="2"/>
        <v>834</v>
      </c>
      <c r="J14" s="140">
        <v>447</v>
      </c>
      <c r="K14" s="140">
        <v>0</v>
      </c>
      <c r="L14" s="140">
        <v>387</v>
      </c>
      <c r="M14" s="140">
        <f t="shared" si="3"/>
        <v>22509</v>
      </c>
      <c r="N14" s="140">
        <v>3123</v>
      </c>
      <c r="O14" s="140">
        <v>0</v>
      </c>
      <c r="P14" s="140">
        <v>15229</v>
      </c>
      <c r="Q14" s="140">
        <v>4157</v>
      </c>
      <c r="R14" s="140">
        <f t="shared" si="4"/>
        <v>5766</v>
      </c>
      <c r="S14" s="140">
        <v>67</v>
      </c>
      <c r="T14" s="140">
        <v>1281</v>
      </c>
      <c r="U14" s="140">
        <v>4418</v>
      </c>
      <c r="V14" s="140">
        <v>0</v>
      </c>
      <c r="W14" s="76" t="s">
        <v>313</v>
      </c>
      <c r="X14" s="208" t="s">
        <v>309</v>
      </c>
      <c r="Y14" s="140">
        <f t="shared" si="5"/>
        <v>5497</v>
      </c>
      <c r="Z14" s="140">
        <v>865</v>
      </c>
      <c r="AA14" s="140">
        <v>4632</v>
      </c>
      <c r="AB14" s="140">
        <v>6596</v>
      </c>
      <c r="AC14" s="225">
        <f t="shared" si="6"/>
        <v>0</v>
      </c>
      <c r="AD14" s="140">
        <v>0</v>
      </c>
      <c r="AE14" s="140">
        <v>0</v>
      </c>
      <c r="AF14" s="140">
        <v>0</v>
      </c>
      <c r="AG14" s="225">
        <f t="shared" si="7"/>
        <v>61</v>
      </c>
      <c r="AH14" s="140">
        <v>0</v>
      </c>
      <c r="AI14" s="140">
        <v>61</v>
      </c>
      <c r="AJ14" s="140">
        <v>34138</v>
      </c>
      <c r="AK14" s="140">
        <v>0</v>
      </c>
      <c r="AL14" s="140">
        <v>86108</v>
      </c>
      <c r="AM14" s="63"/>
      <c r="AN14" s="63"/>
      <c r="AO14" s="63"/>
      <c r="AP14" s="63"/>
      <c r="AQ14" s="63"/>
      <c r="AR14" s="66"/>
    </row>
    <row r="15" spans="1:44" ht="19.5" customHeight="1">
      <c r="A15" s="76" t="s">
        <v>395</v>
      </c>
      <c r="B15" s="208" t="s">
        <v>394</v>
      </c>
      <c r="C15" s="140">
        <f t="shared" si="0"/>
        <v>134846</v>
      </c>
      <c r="D15" s="140">
        <f t="shared" si="1"/>
        <v>46189</v>
      </c>
      <c r="E15" s="140">
        <v>13854</v>
      </c>
      <c r="F15" s="140">
        <v>15809</v>
      </c>
      <c r="G15" s="216">
        <v>16398</v>
      </c>
      <c r="H15" s="140">
        <v>128</v>
      </c>
      <c r="I15" s="140">
        <f t="shared" si="2"/>
        <v>3394</v>
      </c>
      <c r="J15" s="140">
        <v>1869</v>
      </c>
      <c r="K15" s="140">
        <v>0</v>
      </c>
      <c r="L15" s="140">
        <v>1525</v>
      </c>
      <c r="M15" s="140">
        <f t="shared" si="3"/>
        <v>18973</v>
      </c>
      <c r="N15" s="140">
        <v>6158</v>
      </c>
      <c r="O15" s="140">
        <v>0</v>
      </c>
      <c r="P15" s="140">
        <v>7313</v>
      </c>
      <c r="Q15" s="140">
        <v>5502</v>
      </c>
      <c r="R15" s="140">
        <f t="shared" si="4"/>
        <v>12518</v>
      </c>
      <c r="S15" s="140">
        <v>18</v>
      </c>
      <c r="T15" s="140">
        <v>7320</v>
      </c>
      <c r="U15" s="140">
        <v>5180</v>
      </c>
      <c r="V15" s="140">
        <v>0</v>
      </c>
      <c r="W15" s="76" t="s">
        <v>395</v>
      </c>
      <c r="X15" s="208" t="s">
        <v>394</v>
      </c>
      <c r="Y15" s="140">
        <f t="shared" si="5"/>
        <v>5549</v>
      </c>
      <c r="Z15" s="140">
        <v>509</v>
      </c>
      <c r="AA15" s="140">
        <v>5040</v>
      </c>
      <c r="AB15" s="140">
        <v>7525</v>
      </c>
      <c r="AC15" s="225">
        <f t="shared" si="6"/>
        <v>0</v>
      </c>
      <c r="AD15" s="140">
        <v>0</v>
      </c>
      <c r="AE15" s="140">
        <v>0</v>
      </c>
      <c r="AF15" s="140">
        <v>0</v>
      </c>
      <c r="AG15" s="225">
        <f t="shared" si="7"/>
        <v>87</v>
      </c>
      <c r="AH15" s="140">
        <v>0</v>
      </c>
      <c r="AI15" s="140">
        <v>87</v>
      </c>
      <c r="AJ15" s="140">
        <v>40611</v>
      </c>
      <c r="AK15" s="140">
        <v>0</v>
      </c>
      <c r="AL15" s="140">
        <v>100920</v>
      </c>
      <c r="AM15" s="63"/>
      <c r="AN15" s="63"/>
      <c r="AO15" s="63"/>
      <c r="AP15" s="63"/>
      <c r="AQ15" s="63"/>
      <c r="AR15" s="66"/>
    </row>
    <row r="16" spans="1:44" ht="19.5" customHeight="1">
      <c r="A16" s="76" t="s">
        <v>401</v>
      </c>
      <c r="B16" s="208" t="s">
        <v>400</v>
      </c>
      <c r="C16" s="140">
        <f t="shared" si="0"/>
        <v>125014</v>
      </c>
      <c r="D16" s="140">
        <f t="shared" si="1"/>
        <v>44320</v>
      </c>
      <c r="E16" s="140">
        <v>14040</v>
      </c>
      <c r="F16" s="140">
        <v>14877</v>
      </c>
      <c r="G16" s="216">
        <v>15306</v>
      </c>
      <c r="H16" s="140">
        <v>97</v>
      </c>
      <c r="I16" s="140">
        <f t="shared" si="2"/>
        <v>4050</v>
      </c>
      <c r="J16" s="140">
        <v>2690</v>
      </c>
      <c r="K16" s="140">
        <v>0</v>
      </c>
      <c r="L16" s="140">
        <v>1360</v>
      </c>
      <c r="M16" s="140">
        <f t="shared" si="3"/>
        <v>19151</v>
      </c>
      <c r="N16" s="140">
        <v>6735</v>
      </c>
      <c r="O16" s="140">
        <v>0</v>
      </c>
      <c r="P16" s="140">
        <v>6509</v>
      </c>
      <c r="Q16" s="140">
        <v>5907</v>
      </c>
      <c r="R16" s="140">
        <f t="shared" si="4"/>
        <v>10519</v>
      </c>
      <c r="S16" s="140">
        <v>57</v>
      </c>
      <c r="T16" s="140">
        <v>6113</v>
      </c>
      <c r="U16" s="140">
        <v>4349</v>
      </c>
      <c r="V16" s="140">
        <v>0</v>
      </c>
      <c r="W16" s="76" t="s">
        <v>401</v>
      </c>
      <c r="X16" s="208" t="s">
        <v>400</v>
      </c>
      <c r="Y16" s="140">
        <f t="shared" si="5"/>
        <v>6844</v>
      </c>
      <c r="Z16" s="140">
        <v>476</v>
      </c>
      <c r="AA16" s="140">
        <v>6368</v>
      </c>
      <c r="AB16" s="140">
        <v>4493</v>
      </c>
      <c r="AC16" s="225">
        <f t="shared" si="6"/>
        <v>0</v>
      </c>
      <c r="AD16" s="140">
        <v>0</v>
      </c>
      <c r="AE16" s="140">
        <v>0</v>
      </c>
      <c r="AF16" s="140">
        <v>0</v>
      </c>
      <c r="AG16" s="225">
        <f t="shared" si="7"/>
        <v>1168</v>
      </c>
      <c r="AH16" s="140">
        <v>0</v>
      </c>
      <c r="AI16" s="140">
        <v>1168</v>
      </c>
      <c r="AJ16" s="140">
        <v>34469</v>
      </c>
      <c r="AK16" s="140">
        <v>0</v>
      </c>
      <c r="AL16" s="140">
        <v>105707</v>
      </c>
      <c r="AM16" s="63"/>
      <c r="AN16" s="63"/>
      <c r="AO16" s="63"/>
      <c r="AP16" s="63"/>
      <c r="AQ16" s="63"/>
      <c r="AR16" s="66"/>
    </row>
    <row r="17" spans="1:44" ht="19.5" customHeight="1">
      <c r="A17" s="76" t="s">
        <v>402</v>
      </c>
      <c r="B17" s="208" t="s">
        <v>403</v>
      </c>
      <c r="C17" s="140">
        <v>127086</v>
      </c>
      <c r="D17" s="140">
        <v>44216</v>
      </c>
      <c r="E17" s="140">
        <v>14121</v>
      </c>
      <c r="F17" s="140">
        <v>15497</v>
      </c>
      <c r="G17" s="216">
        <v>14480</v>
      </c>
      <c r="H17" s="140">
        <v>118</v>
      </c>
      <c r="I17" s="140">
        <v>4643</v>
      </c>
      <c r="J17" s="140">
        <v>3095</v>
      </c>
      <c r="K17" s="140">
        <f>SUM(K20:K40)</f>
        <v>0</v>
      </c>
      <c r="L17" s="140">
        <v>1548</v>
      </c>
      <c r="M17" s="140">
        <v>34542</v>
      </c>
      <c r="N17" s="140">
        <v>6575</v>
      </c>
      <c r="O17" s="140">
        <f>SUM(O20:O40)</f>
        <v>0</v>
      </c>
      <c r="P17" s="140">
        <v>21667</v>
      </c>
      <c r="Q17" s="140">
        <v>6300</v>
      </c>
      <c r="R17" s="140">
        <v>9522</v>
      </c>
      <c r="S17" s="140">
        <v>23</v>
      </c>
      <c r="T17" s="140">
        <v>5263</v>
      </c>
      <c r="U17" s="140">
        <v>4236</v>
      </c>
      <c r="V17" s="140">
        <f>SUM(V20:V40)</f>
        <v>0</v>
      </c>
      <c r="W17" s="76" t="s">
        <v>402</v>
      </c>
      <c r="X17" s="208" t="s">
        <v>404</v>
      </c>
      <c r="Y17" s="140">
        <v>7403</v>
      </c>
      <c r="Z17" s="140">
        <v>547</v>
      </c>
      <c r="AA17" s="140">
        <v>6856</v>
      </c>
      <c r="AB17" s="140">
        <v>5595</v>
      </c>
      <c r="AC17" s="225">
        <f t="shared" si="6"/>
        <v>0</v>
      </c>
      <c r="AD17" s="140">
        <f>SUM(AD20:AD40)</f>
        <v>0</v>
      </c>
      <c r="AE17" s="140">
        <f>SUM(AE20:AE40)</f>
        <v>0</v>
      </c>
      <c r="AF17" s="140">
        <f>SUM(AF20:AF40)</f>
        <v>0</v>
      </c>
      <c r="AG17" s="225">
        <v>140</v>
      </c>
      <c r="AH17" s="140">
        <v>0</v>
      </c>
      <c r="AI17" s="140">
        <v>140</v>
      </c>
      <c r="AJ17" s="140">
        <v>21025</v>
      </c>
      <c r="AK17" s="140">
        <f>SUM(AK20:AK40)</f>
        <v>0</v>
      </c>
      <c r="AL17" s="140">
        <v>114052</v>
      </c>
      <c r="AM17" s="63"/>
      <c r="AN17" s="63"/>
      <c r="AO17" s="63"/>
      <c r="AP17" s="63"/>
      <c r="AQ17" s="63"/>
      <c r="AR17" s="66"/>
    </row>
    <row r="18" spans="1:44" ht="19.5" customHeight="1">
      <c r="A18" s="76" t="s">
        <v>405</v>
      </c>
      <c r="B18" s="208" t="s">
        <v>408</v>
      </c>
      <c r="C18" s="140">
        <v>114270</v>
      </c>
      <c r="D18" s="140">
        <v>42516</v>
      </c>
      <c r="E18" s="140">
        <v>14249</v>
      </c>
      <c r="F18" s="140">
        <v>13395</v>
      </c>
      <c r="G18" s="216">
        <v>14755</v>
      </c>
      <c r="H18" s="140">
        <v>116</v>
      </c>
      <c r="I18" s="140">
        <v>4579</v>
      </c>
      <c r="J18" s="140">
        <v>2721</v>
      </c>
      <c r="K18" s="140">
        <f>SUM(K20:K40)</f>
        <v>0</v>
      </c>
      <c r="L18" s="140">
        <v>1859</v>
      </c>
      <c r="M18" s="140">
        <v>15927</v>
      </c>
      <c r="N18" s="140">
        <v>6479</v>
      </c>
      <c r="O18" s="140">
        <f>SUM(O20:O40)</f>
        <v>0</v>
      </c>
      <c r="P18" s="140">
        <v>116</v>
      </c>
      <c r="Q18" s="140">
        <v>9332</v>
      </c>
      <c r="R18" s="140">
        <v>9522</v>
      </c>
      <c r="S18" s="140">
        <v>17</v>
      </c>
      <c r="T18" s="140">
        <v>6021</v>
      </c>
      <c r="U18" s="140">
        <v>4324</v>
      </c>
      <c r="V18" s="140">
        <f>SUM(V20:V40)</f>
        <v>0</v>
      </c>
      <c r="W18" s="76" t="s">
        <v>405</v>
      </c>
      <c r="X18" s="208" t="s">
        <v>406</v>
      </c>
      <c r="Y18" s="140">
        <v>7152</v>
      </c>
      <c r="Z18" s="140">
        <v>888</v>
      </c>
      <c r="AA18" s="140">
        <v>6264</v>
      </c>
      <c r="AB18" s="140">
        <v>4235</v>
      </c>
      <c r="AC18" s="225">
        <f>SUM(AD18:AE18)</f>
        <v>0</v>
      </c>
      <c r="AD18" s="140">
        <f>SUM(AD20:AD40)</f>
        <v>0</v>
      </c>
      <c r="AE18" s="140">
        <f>SUM(AE20:AE40)</f>
        <v>0</v>
      </c>
      <c r="AF18" s="140">
        <f>SUM(AF20:AF40)</f>
        <v>0</v>
      </c>
      <c r="AG18" s="225">
        <v>871</v>
      </c>
      <c r="AH18" s="140">
        <v>0</v>
      </c>
      <c r="AI18" s="140">
        <v>871</v>
      </c>
      <c r="AJ18" s="140">
        <v>28628</v>
      </c>
      <c r="AK18" s="140">
        <f>SUM(AK20:AK40)</f>
        <v>0</v>
      </c>
      <c r="AL18" s="140">
        <v>112880</v>
      </c>
      <c r="AM18" s="64"/>
      <c r="AN18" s="63"/>
      <c r="AO18" s="63"/>
      <c r="AP18" s="63"/>
      <c r="AQ18" s="63"/>
      <c r="AR18" s="63"/>
    </row>
    <row r="19" spans="1:44" ht="19.5" customHeight="1">
      <c r="A19" s="76" t="s">
        <v>418</v>
      </c>
      <c r="B19" s="208" t="s">
        <v>413</v>
      </c>
      <c r="C19" s="140">
        <v>183543</v>
      </c>
      <c r="D19" s="140">
        <v>51191</v>
      </c>
      <c r="E19" s="140">
        <v>14374</v>
      </c>
      <c r="F19" s="140">
        <v>14584</v>
      </c>
      <c r="G19" s="216">
        <v>22139</v>
      </c>
      <c r="H19" s="140">
        <v>94</v>
      </c>
      <c r="I19" s="140">
        <v>6242</v>
      </c>
      <c r="J19" s="140">
        <v>3174</v>
      </c>
      <c r="K19" s="140">
        <f>SUM(K29:K41)</f>
        <v>0</v>
      </c>
      <c r="L19" s="140">
        <v>3067</v>
      </c>
      <c r="M19" s="140">
        <v>94634</v>
      </c>
      <c r="N19" s="140">
        <v>17100</v>
      </c>
      <c r="O19" s="140">
        <f>SUM(O29:O41)</f>
        <v>0</v>
      </c>
      <c r="P19" s="140">
        <v>66995</v>
      </c>
      <c r="Q19" s="140">
        <v>10540</v>
      </c>
      <c r="R19" s="140">
        <v>10935</v>
      </c>
      <c r="S19" s="140">
        <v>0</v>
      </c>
      <c r="T19" s="140">
        <v>6177</v>
      </c>
      <c r="U19" s="140">
        <v>4757</v>
      </c>
      <c r="V19" s="140">
        <f>SUM(V29:V41)</f>
        <v>0</v>
      </c>
      <c r="W19" s="76" t="s">
        <v>412</v>
      </c>
      <c r="X19" s="208" t="s">
        <v>413</v>
      </c>
      <c r="Y19" s="140">
        <v>11335</v>
      </c>
      <c r="Z19" s="140">
        <v>1668</v>
      </c>
      <c r="AA19" s="140">
        <v>9667</v>
      </c>
      <c r="AB19" s="140">
        <v>5288</v>
      </c>
      <c r="AC19" s="225">
        <f t="shared" si="6"/>
        <v>0</v>
      </c>
      <c r="AD19" s="140">
        <f>SUM(AD29:AD41)</f>
        <v>0</v>
      </c>
      <c r="AE19" s="140">
        <f>SUM(AE29:AE41)</f>
        <v>0</v>
      </c>
      <c r="AF19" s="140">
        <f>SUM(AF29:AF41)</f>
        <v>0</v>
      </c>
      <c r="AG19" s="225">
        <v>1841</v>
      </c>
      <c r="AH19" s="140">
        <v>0</v>
      </c>
      <c r="AI19" s="140">
        <v>1841</v>
      </c>
      <c r="AJ19" s="140">
        <v>2077</v>
      </c>
      <c r="AK19" s="140">
        <f>SUM(AK29:AK41)</f>
        <v>0</v>
      </c>
      <c r="AL19" s="140">
        <v>55820</v>
      </c>
      <c r="AM19" s="64"/>
      <c r="AN19" s="63"/>
      <c r="AO19" s="63"/>
      <c r="AP19" s="63"/>
      <c r="AQ19" s="63"/>
      <c r="AR19" s="63"/>
    </row>
    <row r="20" spans="1:44" ht="19.5" customHeight="1">
      <c r="A20" s="76" t="s">
        <v>416</v>
      </c>
      <c r="B20" s="208" t="s">
        <v>417</v>
      </c>
      <c r="C20" s="140">
        <v>179225</v>
      </c>
      <c r="D20" s="140">
        <f aca="true" t="shared" si="8" ref="D20:D29">SUM(E20:H20)</f>
        <v>48625</v>
      </c>
      <c r="E20" s="140">
        <v>13876</v>
      </c>
      <c r="F20" s="140">
        <v>13914</v>
      </c>
      <c r="G20" s="216">
        <v>20748</v>
      </c>
      <c r="H20" s="216">
        <v>87</v>
      </c>
      <c r="I20" s="140">
        <f>SUM(J20:L20)</f>
        <v>6518</v>
      </c>
      <c r="J20" s="140">
        <v>3459</v>
      </c>
      <c r="K20" s="140">
        <v>0</v>
      </c>
      <c r="L20" s="140">
        <v>3059</v>
      </c>
      <c r="M20" s="140">
        <v>41330</v>
      </c>
      <c r="N20" s="140">
        <v>19547</v>
      </c>
      <c r="O20" s="140">
        <f>SUM(O29:O40)</f>
        <v>0</v>
      </c>
      <c r="P20" s="140">
        <v>16174</v>
      </c>
      <c r="Q20" s="140">
        <v>5608</v>
      </c>
      <c r="R20" s="140">
        <f aca="true" t="shared" si="9" ref="R20:R29">SUM(S20:V20)</f>
        <v>11420.701000000001</v>
      </c>
      <c r="S20" s="140">
        <f>SUM(S29:S40)</f>
        <v>377.701</v>
      </c>
      <c r="T20" s="140">
        <v>6499</v>
      </c>
      <c r="U20" s="140">
        <v>4544</v>
      </c>
      <c r="V20" s="140">
        <f>SUM(V29:V40)</f>
        <v>0</v>
      </c>
      <c r="W20" s="76" t="s">
        <v>416</v>
      </c>
      <c r="X20" s="208" t="s">
        <v>417</v>
      </c>
      <c r="Y20" s="140">
        <f aca="true" t="shared" si="10" ref="Y20:Y29">SUM(Z20:AA20)</f>
        <v>8754</v>
      </c>
      <c r="Z20" s="140">
        <v>1193</v>
      </c>
      <c r="AA20" s="140">
        <v>7561</v>
      </c>
      <c r="AB20" s="140">
        <v>7025</v>
      </c>
      <c r="AC20" s="225">
        <f t="shared" si="6"/>
        <v>0</v>
      </c>
      <c r="AD20" s="140">
        <f>SUM(AD29:AD40)</f>
        <v>0</v>
      </c>
      <c r="AE20" s="140">
        <f>SUM(AE29:AE40)</f>
        <v>0</v>
      </c>
      <c r="AF20" s="140">
        <f>SUM(AF29:AF40)</f>
        <v>0</v>
      </c>
      <c r="AG20" s="225">
        <f>SUM(AH20:AI20)</f>
        <v>1665</v>
      </c>
      <c r="AH20" s="140">
        <v>0</v>
      </c>
      <c r="AI20" s="140">
        <v>1665</v>
      </c>
      <c r="AJ20" s="140">
        <v>54264</v>
      </c>
      <c r="AK20" s="140">
        <f>SUM(AK29:AK40)</f>
        <v>0</v>
      </c>
      <c r="AL20" s="140">
        <v>71684</v>
      </c>
      <c r="AM20" s="64"/>
      <c r="AN20" s="63"/>
      <c r="AO20" s="63"/>
      <c r="AP20" s="63"/>
      <c r="AQ20" s="63"/>
      <c r="AR20" s="63"/>
    </row>
    <row r="21" spans="1:44" ht="19.5" customHeight="1">
      <c r="A21" s="76" t="s">
        <v>434</v>
      </c>
      <c r="B21" s="208" t="s">
        <v>433</v>
      </c>
      <c r="C21" s="140">
        <f aca="true" t="shared" si="11" ref="C21:C26">SUM(D21,I21,M21,R21,Y21,AB21,AC21,AF21,AI21,AJ21,AK21)</f>
        <v>157352.37</v>
      </c>
      <c r="D21" s="140">
        <f t="shared" si="8"/>
        <v>52334.939999999995</v>
      </c>
      <c r="E21" s="140">
        <v>15195.95</v>
      </c>
      <c r="F21" s="140">
        <v>14788.2</v>
      </c>
      <c r="G21" s="216">
        <v>22227.55</v>
      </c>
      <c r="H21" s="216">
        <v>123.24</v>
      </c>
      <c r="I21" s="140">
        <v>7041.68</v>
      </c>
      <c r="J21" s="140">
        <v>3602.43</v>
      </c>
      <c r="K21" s="140">
        <v>0</v>
      </c>
      <c r="L21" s="140">
        <v>3439.25</v>
      </c>
      <c r="M21" s="140">
        <f aca="true" t="shared" si="12" ref="M21:M29">SUM(N21:Q21)</f>
        <v>38015.58</v>
      </c>
      <c r="N21" s="140">
        <v>20318.78</v>
      </c>
      <c r="O21" s="140">
        <v>0</v>
      </c>
      <c r="P21" s="140">
        <v>16620.52</v>
      </c>
      <c r="Q21" s="140">
        <v>1076.28</v>
      </c>
      <c r="R21" s="140">
        <f t="shared" si="9"/>
        <v>9123.32</v>
      </c>
      <c r="S21" s="140">
        <v>0</v>
      </c>
      <c r="T21" s="140">
        <v>5329.01</v>
      </c>
      <c r="U21" s="140">
        <v>3794.31</v>
      </c>
      <c r="V21" s="140">
        <v>0</v>
      </c>
      <c r="W21" s="76" t="s">
        <v>436</v>
      </c>
      <c r="X21" s="208" t="s">
        <v>433</v>
      </c>
      <c r="Y21" s="140">
        <f t="shared" si="10"/>
        <v>7964.51</v>
      </c>
      <c r="Z21" s="140">
        <v>1698.31</v>
      </c>
      <c r="AA21" s="140">
        <v>6266.2</v>
      </c>
      <c r="AB21" s="140">
        <v>3415.8</v>
      </c>
      <c r="AC21" s="225"/>
      <c r="AD21" s="140"/>
      <c r="AE21" s="140"/>
      <c r="AF21" s="140"/>
      <c r="AG21" s="225">
        <v>1578.02</v>
      </c>
      <c r="AH21" s="140">
        <v>1</v>
      </c>
      <c r="AI21" s="140">
        <v>1577.02</v>
      </c>
      <c r="AJ21" s="140">
        <v>37879.52</v>
      </c>
      <c r="AK21" s="140"/>
      <c r="AL21" s="140">
        <v>89955</v>
      </c>
      <c r="AM21" s="64"/>
      <c r="AN21" s="63"/>
      <c r="AO21" s="63"/>
      <c r="AP21" s="63"/>
      <c r="AQ21" s="63"/>
      <c r="AR21" s="63"/>
    </row>
    <row r="22" spans="1:44" s="227" customFormat="1" ht="19.5" customHeight="1">
      <c r="A22" s="223" t="s">
        <v>462</v>
      </c>
      <c r="B22" s="256" t="s">
        <v>439</v>
      </c>
      <c r="C22" s="225">
        <f t="shared" si="11"/>
        <v>168908</v>
      </c>
      <c r="D22" s="225">
        <f t="shared" si="8"/>
        <v>52677</v>
      </c>
      <c r="E22" s="225">
        <v>15049</v>
      </c>
      <c r="F22" s="225">
        <v>14435</v>
      </c>
      <c r="G22" s="257">
        <v>23052</v>
      </c>
      <c r="H22" s="257">
        <v>141</v>
      </c>
      <c r="I22" s="225">
        <f aca="true" t="shared" si="13" ref="I22:I29">SUM(J22:L22)</f>
        <v>14280</v>
      </c>
      <c r="J22" s="225">
        <v>10453</v>
      </c>
      <c r="K22" s="225">
        <v>0</v>
      </c>
      <c r="L22" s="225">
        <v>3827</v>
      </c>
      <c r="M22" s="225">
        <f t="shared" si="12"/>
        <v>31333</v>
      </c>
      <c r="N22" s="225">
        <v>14396</v>
      </c>
      <c r="O22" s="225">
        <v>0</v>
      </c>
      <c r="P22" s="225">
        <v>15690</v>
      </c>
      <c r="Q22" s="225">
        <v>1247</v>
      </c>
      <c r="R22" s="225">
        <f t="shared" si="9"/>
        <v>9013</v>
      </c>
      <c r="S22" s="225">
        <v>333</v>
      </c>
      <c r="T22" s="225">
        <v>5142</v>
      </c>
      <c r="U22" s="225">
        <v>3538</v>
      </c>
      <c r="V22" s="225">
        <v>0</v>
      </c>
      <c r="W22" s="223" t="s">
        <v>462</v>
      </c>
      <c r="X22" s="256" t="s">
        <v>439</v>
      </c>
      <c r="Y22" s="225">
        <f t="shared" si="10"/>
        <v>7190</v>
      </c>
      <c r="Z22" s="225">
        <v>1101</v>
      </c>
      <c r="AA22" s="225">
        <v>6089</v>
      </c>
      <c r="AB22" s="225">
        <v>4286</v>
      </c>
      <c r="AC22" s="225">
        <v>0</v>
      </c>
      <c r="AD22" s="225">
        <v>0</v>
      </c>
      <c r="AE22" s="225">
        <v>0</v>
      </c>
      <c r="AF22" s="225">
        <v>0</v>
      </c>
      <c r="AG22" s="225">
        <v>1347</v>
      </c>
      <c r="AH22" s="225">
        <v>1</v>
      </c>
      <c r="AI22" s="225">
        <v>1346</v>
      </c>
      <c r="AJ22" s="225">
        <v>48783</v>
      </c>
      <c r="AK22" s="225">
        <v>0</v>
      </c>
      <c r="AL22" s="225">
        <v>81782.003</v>
      </c>
      <c r="AM22" s="64"/>
      <c r="AN22" s="64"/>
      <c r="AO22" s="64"/>
      <c r="AP22" s="64"/>
      <c r="AQ22" s="64"/>
      <c r="AR22" s="64"/>
    </row>
    <row r="23" spans="1:44" s="227" customFormat="1" ht="19.5" customHeight="1">
      <c r="A23" s="223" t="s">
        <v>460</v>
      </c>
      <c r="B23" s="256" t="s">
        <v>461</v>
      </c>
      <c r="C23" s="225">
        <f t="shared" si="11"/>
        <v>172954.04</v>
      </c>
      <c r="D23" s="225">
        <f t="shared" si="8"/>
        <v>54001.560000000005</v>
      </c>
      <c r="E23" s="225">
        <v>15102.75</v>
      </c>
      <c r="F23" s="225">
        <v>16711.46</v>
      </c>
      <c r="G23" s="257">
        <v>22037.59</v>
      </c>
      <c r="H23" s="257">
        <v>149.76</v>
      </c>
      <c r="I23" s="225">
        <f t="shared" si="13"/>
        <v>8225.63</v>
      </c>
      <c r="J23" s="225">
        <v>4756.16</v>
      </c>
      <c r="K23" s="225">
        <v>0</v>
      </c>
      <c r="L23" s="225">
        <v>3469.47</v>
      </c>
      <c r="M23" s="225">
        <f t="shared" si="12"/>
        <v>39236.97</v>
      </c>
      <c r="N23" s="225">
        <v>15828.81</v>
      </c>
      <c r="O23" s="225">
        <v>0</v>
      </c>
      <c r="P23" s="225">
        <v>22372.16</v>
      </c>
      <c r="Q23" s="225">
        <v>1036</v>
      </c>
      <c r="R23" s="225">
        <f t="shared" si="9"/>
        <v>9552.52</v>
      </c>
      <c r="S23" s="225">
        <v>309.88</v>
      </c>
      <c r="T23" s="225">
        <v>5317.18</v>
      </c>
      <c r="U23" s="225">
        <v>3925.46</v>
      </c>
      <c r="V23" s="225">
        <v>0</v>
      </c>
      <c r="W23" s="223" t="s">
        <v>460</v>
      </c>
      <c r="X23" s="256" t="s">
        <v>461</v>
      </c>
      <c r="Y23" s="225">
        <f t="shared" si="10"/>
        <v>7157.889999999999</v>
      </c>
      <c r="Z23" s="225">
        <v>1211.31</v>
      </c>
      <c r="AA23" s="225">
        <v>5946.58</v>
      </c>
      <c r="AB23" s="225">
        <v>4242.92</v>
      </c>
      <c r="AC23" s="225">
        <v>0</v>
      </c>
      <c r="AD23" s="225">
        <v>0</v>
      </c>
      <c r="AE23" s="225">
        <v>0</v>
      </c>
      <c r="AF23" s="225">
        <v>0</v>
      </c>
      <c r="AG23" s="225">
        <v>1686.55</v>
      </c>
      <c r="AH23" s="225">
        <v>1</v>
      </c>
      <c r="AI23" s="225">
        <v>1685.55</v>
      </c>
      <c r="AJ23" s="225">
        <v>48851</v>
      </c>
      <c r="AK23" s="225">
        <v>0</v>
      </c>
      <c r="AL23" s="225">
        <v>46035.769</v>
      </c>
      <c r="AM23" s="64"/>
      <c r="AN23" s="64"/>
      <c r="AO23" s="64"/>
      <c r="AP23" s="64"/>
      <c r="AQ23" s="64"/>
      <c r="AR23" s="64"/>
    </row>
    <row r="24" spans="1:44" s="227" customFormat="1" ht="19.5" customHeight="1">
      <c r="A24" s="223" t="s">
        <v>466</v>
      </c>
      <c r="B24" s="256" t="s">
        <v>467</v>
      </c>
      <c r="C24" s="225">
        <f t="shared" si="11"/>
        <v>193714.76</v>
      </c>
      <c r="D24" s="225">
        <f t="shared" si="8"/>
        <v>52949.229999999996</v>
      </c>
      <c r="E24" s="225">
        <v>15162.56</v>
      </c>
      <c r="F24" s="225">
        <v>14000.82</v>
      </c>
      <c r="G24" s="257">
        <v>23618</v>
      </c>
      <c r="H24" s="257">
        <v>167.85</v>
      </c>
      <c r="I24" s="225">
        <f t="shared" si="13"/>
        <v>12965.65</v>
      </c>
      <c r="J24" s="225">
        <v>7649.33</v>
      </c>
      <c r="K24" s="225">
        <v>0</v>
      </c>
      <c r="L24" s="225">
        <v>5316.32</v>
      </c>
      <c r="M24" s="225">
        <f t="shared" si="12"/>
        <v>36542.21</v>
      </c>
      <c r="N24" s="225">
        <v>15591.33</v>
      </c>
      <c r="O24" s="225">
        <v>0</v>
      </c>
      <c r="P24" s="225">
        <v>13601.84</v>
      </c>
      <c r="Q24" s="225">
        <v>7349.04</v>
      </c>
      <c r="R24" s="225">
        <f>SUM(S24:U24)</f>
        <v>7951.77</v>
      </c>
      <c r="S24" s="225">
        <v>357.05</v>
      </c>
      <c r="T24" s="225">
        <v>6989.56</v>
      </c>
      <c r="U24" s="225">
        <v>605.16</v>
      </c>
      <c r="V24" s="225"/>
      <c r="W24" s="223" t="s">
        <v>466</v>
      </c>
      <c r="X24" s="256" t="s">
        <v>467</v>
      </c>
      <c r="Y24" s="225">
        <f t="shared" si="10"/>
        <v>9643.05</v>
      </c>
      <c r="Z24" s="225">
        <v>1172.9</v>
      </c>
      <c r="AA24" s="225">
        <v>8470.15</v>
      </c>
      <c r="AB24" s="225">
        <v>6740.85</v>
      </c>
      <c r="AC24" s="225">
        <v>0</v>
      </c>
      <c r="AD24" s="225">
        <v>0</v>
      </c>
      <c r="AE24" s="225">
        <v>0</v>
      </c>
      <c r="AF24" s="225">
        <v>0</v>
      </c>
      <c r="AG24" s="225">
        <f>SUM(AH24:AI24)</f>
        <v>1759</v>
      </c>
      <c r="AH24" s="225">
        <v>0</v>
      </c>
      <c r="AI24" s="225">
        <v>1759</v>
      </c>
      <c r="AJ24" s="225">
        <v>65163</v>
      </c>
      <c r="AK24" s="225">
        <v>0</v>
      </c>
      <c r="AL24" s="225">
        <v>68480.579</v>
      </c>
      <c r="AM24" s="64"/>
      <c r="AN24" s="64"/>
      <c r="AO24" s="64"/>
      <c r="AP24" s="64"/>
      <c r="AQ24" s="64"/>
      <c r="AR24" s="64"/>
    </row>
    <row r="25" spans="1:44" s="227" customFormat="1" ht="19.5" customHeight="1">
      <c r="A25" s="223" t="s">
        <v>499</v>
      </c>
      <c r="B25" s="256" t="s">
        <v>500</v>
      </c>
      <c r="C25" s="225">
        <f t="shared" si="11"/>
        <v>192521.22999999998</v>
      </c>
      <c r="D25" s="225">
        <f t="shared" si="8"/>
        <v>52103.87</v>
      </c>
      <c r="E25" s="225">
        <v>17486.64</v>
      </c>
      <c r="F25" s="225">
        <v>14742.65</v>
      </c>
      <c r="G25" s="257">
        <v>19718.82</v>
      </c>
      <c r="H25" s="257">
        <v>155.76</v>
      </c>
      <c r="I25" s="225">
        <f t="shared" si="13"/>
        <v>13737.12</v>
      </c>
      <c r="J25" s="225">
        <v>8302.27</v>
      </c>
      <c r="K25" s="225">
        <v>0</v>
      </c>
      <c r="L25" s="225">
        <v>5434.85</v>
      </c>
      <c r="M25" s="225">
        <f t="shared" si="12"/>
        <v>27245.450000000004</v>
      </c>
      <c r="N25" s="225">
        <v>17076.58</v>
      </c>
      <c r="O25" s="225">
        <v>0</v>
      </c>
      <c r="P25" s="225">
        <v>8437.58</v>
      </c>
      <c r="Q25" s="225">
        <v>1731.29</v>
      </c>
      <c r="R25" s="225">
        <f>SUM(S25:U25)</f>
        <v>11223.03</v>
      </c>
      <c r="S25" s="225">
        <v>320.11</v>
      </c>
      <c r="T25" s="225">
        <v>10341.79</v>
      </c>
      <c r="U25" s="225">
        <v>561.13</v>
      </c>
      <c r="V25" s="225">
        <v>0</v>
      </c>
      <c r="W25" s="223" t="s">
        <v>499</v>
      </c>
      <c r="X25" s="256" t="s">
        <v>500</v>
      </c>
      <c r="Y25" s="225">
        <f>SUM(Z25:AA25)</f>
        <v>12629.09</v>
      </c>
      <c r="Z25" s="225">
        <v>1523.77</v>
      </c>
      <c r="AA25" s="225">
        <v>11105.32</v>
      </c>
      <c r="AB25" s="225">
        <v>6922.88</v>
      </c>
      <c r="AC25" s="225">
        <v>0</v>
      </c>
      <c r="AD25" s="225">
        <v>0</v>
      </c>
      <c r="AE25" s="225">
        <v>0</v>
      </c>
      <c r="AF25" s="225">
        <v>0</v>
      </c>
      <c r="AG25" s="225">
        <v>1412.26</v>
      </c>
      <c r="AH25" s="225">
        <v>0</v>
      </c>
      <c r="AI25" s="225">
        <v>1412.26</v>
      </c>
      <c r="AJ25" s="225">
        <v>67247.53</v>
      </c>
      <c r="AK25" s="225">
        <v>0</v>
      </c>
      <c r="AL25" s="225">
        <v>87049.166</v>
      </c>
      <c r="AM25" s="64"/>
      <c r="AN25" s="64"/>
      <c r="AO25" s="64"/>
      <c r="AP25" s="64"/>
      <c r="AQ25" s="64"/>
      <c r="AR25" s="64"/>
    </row>
    <row r="26" spans="1:44" s="227" customFormat="1" ht="19.5" customHeight="1">
      <c r="A26" s="223" t="s">
        <v>503</v>
      </c>
      <c r="B26" s="256" t="s">
        <v>506</v>
      </c>
      <c r="C26" s="225">
        <f t="shared" si="11"/>
        <v>290539</v>
      </c>
      <c r="D26" s="225">
        <f t="shared" si="8"/>
        <v>54405</v>
      </c>
      <c r="E26" s="225">
        <v>14974</v>
      </c>
      <c r="F26" s="225">
        <v>15957</v>
      </c>
      <c r="G26" s="257">
        <v>22987</v>
      </c>
      <c r="H26" s="257">
        <v>487</v>
      </c>
      <c r="I26" s="225">
        <f t="shared" si="13"/>
        <v>14799.5</v>
      </c>
      <c r="J26" s="225">
        <v>7987.3</v>
      </c>
      <c r="K26" s="225" t="s">
        <v>510</v>
      </c>
      <c r="L26" s="225">
        <v>6812.2</v>
      </c>
      <c r="M26" s="225">
        <f t="shared" si="12"/>
        <v>96784</v>
      </c>
      <c r="N26" s="225">
        <v>42849</v>
      </c>
      <c r="O26" s="225" t="s">
        <v>511</v>
      </c>
      <c r="P26" s="225">
        <v>30319</v>
      </c>
      <c r="Q26" s="225">
        <v>23616</v>
      </c>
      <c r="R26" s="225">
        <f>SUM(S26:U26)</f>
        <v>10619.5</v>
      </c>
      <c r="S26" s="225">
        <v>355.3</v>
      </c>
      <c r="T26" s="225">
        <v>9489</v>
      </c>
      <c r="U26" s="225">
        <v>775.2</v>
      </c>
      <c r="V26" s="225"/>
      <c r="W26" s="223" t="s">
        <v>503</v>
      </c>
      <c r="X26" s="256" t="s">
        <v>506</v>
      </c>
      <c r="Y26" s="225">
        <f>SUM(Z26:AA26)</f>
        <v>13211</v>
      </c>
      <c r="Z26" s="225">
        <v>2482</v>
      </c>
      <c r="AA26" s="225">
        <v>10729</v>
      </c>
      <c r="AB26" s="225">
        <v>7041</v>
      </c>
      <c r="AC26" s="225"/>
      <c r="AD26" s="225"/>
      <c r="AE26" s="225"/>
      <c r="AF26" s="225"/>
      <c r="AG26" s="225">
        <v>237</v>
      </c>
      <c r="AH26" s="225"/>
      <c r="AI26" s="225">
        <v>237</v>
      </c>
      <c r="AJ26" s="225">
        <v>93442</v>
      </c>
      <c r="AK26" s="225"/>
      <c r="AL26" s="225">
        <v>100600</v>
      </c>
      <c r="AM26" s="64"/>
      <c r="AN26" s="64"/>
      <c r="AO26" s="64"/>
      <c r="AP26" s="64"/>
      <c r="AQ26" s="64"/>
      <c r="AR26" s="64"/>
    </row>
    <row r="27" spans="1:44" s="227" customFormat="1" ht="19.5" customHeight="1">
      <c r="A27" s="223" t="s">
        <v>509</v>
      </c>
      <c r="B27" s="256" t="s">
        <v>512</v>
      </c>
      <c r="C27" s="225">
        <f>SUM(D27,I27,M27,R27,Y27,AB27,AC27,AF27,AI27,AJ27,AK27)-1</f>
        <v>275745</v>
      </c>
      <c r="D27" s="225">
        <f>SUM(E27:H27)</f>
        <v>62542</v>
      </c>
      <c r="E27" s="225">
        <v>13712</v>
      </c>
      <c r="F27" s="225">
        <v>23663</v>
      </c>
      <c r="G27" s="257">
        <v>24016</v>
      </c>
      <c r="H27" s="257">
        <v>1151</v>
      </c>
      <c r="I27" s="225">
        <f>SUM(J27:L27)</f>
        <v>14905</v>
      </c>
      <c r="J27" s="225">
        <v>7729</v>
      </c>
      <c r="K27" s="225" t="s">
        <v>510</v>
      </c>
      <c r="L27" s="225">
        <v>7176</v>
      </c>
      <c r="M27" s="225">
        <f>SUM(N27:Q27)</f>
        <v>60464</v>
      </c>
      <c r="N27" s="225">
        <v>25694</v>
      </c>
      <c r="O27" s="225" t="s">
        <v>510</v>
      </c>
      <c r="P27" s="225">
        <v>23265</v>
      </c>
      <c r="Q27" s="225">
        <v>11505</v>
      </c>
      <c r="R27" s="225">
        <f>SUM(S27:U27)</f>
        <v>13588</v>
      </c>
      <c r="S27" s="225">
        <v>336</v>
      </c>
      <c r="T27" s="225">
        <v>11274</v>
      </c>
      <c r="U27" s="225">
        <v>1978</v>
      </c>
      <c r="V27" s="225"/>
      <c r="W27" s="223" t="s">
        <v>509</v>
      </c>
      <c r="X27" s="256" t="s">
        <v>512</v>
      </c>
      <c r="Y27" s="225">
        <f>SUM(Z27:AA27)</f>
        <v>13508</v>
      </c>
      <c r="Z27" s="225">
        <v>1657</v>
      </c>
      <c r="AA27" s="225">
        <v>11851</v>
      </c>
      <c r="AB27" s="225">
        <v>7183</v>
      </c>
      <c r="AC27" s="225"/>
      <c r="AD27" s="225"/>
      <c r="AE27" s="225"/>
      <c r="AF27" s="225"/>
      <c r="AG27" s="225">
        <v>2120</v>
      </c>
      <c r="AH27" s="225"/>
      <c r="AI27" s="225">
        <v>2120</v>
      </c>
      <c r="AJ27" s="225">
        <v>101436</v>
      </c>
      <c r="AK27" s="225"/>
      <c r="AL27" s="225">
        <v>100600</v>
      </c>
      <c r="AM27" s="64"/>
      <c r="AN27" s="64"/>
      <c r="AO27" s="64"/>
      <c r="AP27" s="64"/>
      <c r="AQ27" s="64"/>
      <c r="AR27" s="64"/>
    </row>
    <row r="28" spans="1:44" s="271" customFormat="1" ht="19.5" customHeight="1">
      <c r="A28" s="223" t="s">
        <v>522</v>
      </c>
      <c r="B28" s="256" t="s">
        <v>519</v>
      </c>
      <c r="C28" s="225">
        <f>SUM(D28,I28,M28,R28,Y28,AB28,AC28,AF28,AI28,AJ28,AK28)</f>
        <v>261344.368</v>
      </c>
      <c r="D28" s="225">
        <f>SUM(E28:H28)</f>
        <v>61564.76799999999</v>
      </c>
      <c r="E28" s="225">
        <f>SUM(E29:E41)</f>
        <v>18434.106999999996</v>
      </c>
      <c r="F28" s="225">
        <f>SUM(F29:F41)</f>
        <v>19425.372</v>
      </c>
      <c r="G28" s="257">
        <f>SUM(G29:G41)</f>
        <v>23167.346999999998</v>
      </c>
      <c r="H28" s="225">
        <f>SUM(H29:H41)</f>
        <v>537.9420000000001</v>
      </c>
      <c r="I28" s="225">
        <f t="shared" si="13"/>
        <v>12117.240999999998</v>
      </c>
      <c r="J28" s="225">
        <f>SUM(J29:J41)</f>
        <v>4417.782</v>
      </c>
      <c r="K28" s="225">
        <f>SUM(K29:K41)</f>
        <v>0</v>
      </c>
      <c r="L28" s="225">
        <f>SUM(L29:L41)</f>
        <v>7699.458999999999</v>
      </c>
      <c r="M28" s="225">
        <f t="shared" si="12"/>
        <v>93923.65699999999</v>
      </c>
      <c r="N28" s="225">
        <f>SUM(N29:N41)</f>
        <v>73042.868</v>
      </c>
      <c r="O28" s="225">
        <f>SUM(O29:O41)</f>
        <v>0</v>
      </c>
      <c r="P28" s="225">
        <f>SUM(P29:P41)</f>
        <v>14018.942000000003</v>
      </c>
      <c r="Q28" s="225">
        <f>SUM(Q29:Q41)</f>
        <v>6861.847</v>
      </c>
      <c r="R28" s="225">
        <f>SUM(S28:V28)</f>
        <v>12870.651</v>
      </c>
      <c r="S28" s="225">
        <f>SUM(S29:S41)</f>
        <v>377.701</v>
      </c>
      <c r="T28" s="225">
        <f>SUM(T29:T41)</f>
        <v>10544.21</v>
      </c>
      <c r="U28" s="225">
        <f>SUM(U29:U41)</f>
        <v>1948.74</v>
      </c>
      <c r="V28" s="225">
        <f>SUM(V29:V41)</f>
        <v>0</v>
      </c>
      <c r="W28" s="223" t="s">
        <v>520</v>
      </c>
      <c r="X28" s="256" t="s">
        <v>521</v>
      </c>
      <c r="Y28" s="225">
        <f>SUM(Z28:AA28)</f>
        <v>14012.584</v>
      </c>
      <c r="Z28" s="225">
        <f>SUM(Z29:Z41)</f>
        <v>1607.149</v>
      </c>
      <c r="AA28" s="225">
        <f>SUM(AA29:AA41)</f>
        <v>12405.435000000001</v>
      </c>
      <c r="AB28" s="225">
        <f>SUM(AB29:AB41)</f>
        <v>7173.424000000001</v>
      </c>
      <c r="AC28" s="225">
        <f>SUM(AD28:AE28)</f>
        <v>0</v>
      </c>
      <c r="AD28" s="225">
        <f>SUM(AD30:AD41)</f>
        <v>0</v>
      </c>
      <c r="AE28" s="225">
        <f>SUM(AE30:AE41)</f>
        <v>0</v>
      </c>
      <c r="AF28" s="225">
        <f>SUM(AF30:AF41)</f>
        <v>0</v>
      </c>
      <c r="AG28" s="225">
        <f>SUM(AH28:AI28)</f>
        <v>1399.375</v>
      </c>
      <c r="AH28" s="225">
        <v>0</v>
      </c>
      <c r="AI28" s="225">
        <f>SUM(AI29:AI41)</f>
        <v>1399.375</v>
      </c>
      <c r="AJ28" s="225">
        <f>SUM(AJ29:AJ41)</f>
        <v>58282.668000000005</v>
      </c>
      <c r="AK28" s="225">
        <f>SUM(AK30:AK41)</f>
        <v>0</v>
      </c>
      <c r="AL28" s="225"/>
      <c r="AM28" s="270"/>
      <c r="AN28" s="270"/>
      <c r="AO28" s="270"/>
      <c r="AP28" s="270"/>
      <c r="AQ28" s="270"/>
      <c r="AR28" s="270"/>
    </row>
    <row r="29" spans="1:44" s="227" customFormat="1" ht="19.5" customHeight="1">
      <c r="A29" s="223" t="s">
        <v>419</v>
      </c>
      <c r="B29" s="224" t="s">
        <v>158</v>
      </c>
      <c r="C29" s="225">
        <f>SUM(D29,I29,M29,R29,Y29,AB29,AC29,AF29,AI29,AJ29,AK29)</f>
        <v>24037.025</v>
      </c>
      <c r="D29" s="225">
        <f t="shared" si="8"/>
        <v>7902.668000000001</v>
      </c>
      <c r="E29" s="225">
        <v>2953.081</v>
      </c>
      <c r="F29" s="225">
        <v>2339.079</v>
      </c>
      <c r="G29" s="225">
        <v>2549.966</v>
      </c>
      <c r="H29" s="225">
        <v>60.542</v>
      </c>
      <c r="I29" s="225">
        <f t="shared" si="13"/>
        <v>930.403</v>
      </c>
      <c r="J29" s="225">
        <v>502.862</v>
      </c>
      <c r="K29" s="226">
        <v>0</v>
      </c>
      <c r="L29" s="225">
        <v>427.541</v>
      </c>
      <c r="M29" s="225">
        <f t="shared" si="12"/>
        <v>2860.804</v>
      </c>
      <c r="N29" s="225">
        <v>1636.365</v>
      </c>
      <c r="O29" s="225">
        <v>0</v>
      </c>
      <c r="P29" s="225">
        <v>1067.599</v>
      </c>
      <c r="Q29" s="225">
        <v>156.84</v>
      </c>
      <c r="R29" s="225">
        <f t="shared" si="9"/>
        <v>1352.636</v>
      </c>
      <c r="S29" s="225">
        <v>58.393</v>
      </c>
      <c r="T29" s="225">
        <v>1294.243</v>
      </c>
      <c r="U29" s="225">
        <v>0</v>
      </c>
      <c r="V29" s="225">
        <v>0</v>
      </c>
      <c r="W29" s="223" t="s">
        <v>468</v>
      </c>
      <c r="X29" s="224" t="s">
        <v>158</v>
      </c>
      <c r="Y29" s="225">
        <f t="shared" si="10"/>
        <v>1579.843</v>
      </c>
      <c r="Z29" s="225">
        <v>0</v>
      </c>
      <c r="AA29" s="225">
        <v>1579.843</v>
      </c>
      <c r="AB29" s="225">
        <v>892.208</v>
      </c>
      <c r="AC29" s="225">
        <v>0</v>
      </c>
      <c r="AD29" s="226">
        <v>0</v>
      </c>
      <c r="AE29" s="225">
        <v>0</v>
      </c>
      <c r="AF29" s="225">
        <v>0</v>
      </c>
      <c r="AG29" s="225">
        <f>SUM(AH29:AI29)</f>
        <v>0</v>
      </c>
      <c r="AH29" s="225"/>
      <c r="AI29" s="225"/>
      <c r="AJ29" s="225">
        <f>167.257+8351.206</f>
        <v>8518.463</v>
      </c>
      <c r="AK29" s="225"/>
      <c r="AL29" s="225">
        <v>113046.474</v>
      </c>
      <c r="AM29" s="64"/>
      <c r="AN29" s="64"/>
      <c r="AO29" s="64"/>
      <c r="AP29" s="64"/>
      <c r="AQ29" s="64"/>
      <c r="AR29" s="64"/>
    </row>
    <row r="30" spans="1:44" s="227" customFormat="1" ht="19.5" customHeight="1">
      <c r="A30" s="223" t="s">
        <v>420</v>
      </c>
      <c r="B30" s="224" t="s">
        <v>102</v>
      </c>
      <c r="C30" s="225">
        <f>SUM(D30,I30,M30,R30,Y30,AB30,AC30,AF30,AI30,AJ30,AK30)</f>
        <v>9343.97</v>
      </c>
      <c r="D30" s="225">
        <f aca="true" t="shared" si="14" ref="D30:D40">SUM(E30:H30)</f>
        <v>3161.927</v>
      </c>
      <c r="E30" s="225">
        <v>1101.146</v>
      </c>
      <c r="F30" s="225">
        <f>873.046+9.8</f>
        <v>882.846</v>
      </c>
      <c r="G30" s="225">
        <f>1127.145+28.7</f>
        <v>1155.845</v>
      </c>
      <c r="H30" s="225">
        <v>22.09</v>
      </c>
      <c r="I30" s="225">
        <f aca="true" t="shared" si="15" ref="I30:I40">SUM(J30:L30)</f>
        <v>236.16899999999998</v>
      </c>
      <c r="J30" s="225">
        <v>98.848</v>
      </c>
      <c r="K30" s="226">
        <v>0</v>
      </c>
      <c r="L30" s="225">
        <v>137.321</v>
      </c>
      <c r="M30" s="225">
        <f aca="true" t="shared" si="16" ref="M30:M40">SUM(N30:Q30)</f>
        <v>1258.222</v>
      </c>
      <c r="N30" s="225">
        <f>676.202+42</f>
        <v>718.202</v>
      </c>
      <c r="O30" s="225">
        <v>0</v>
      </c>
      <c r="P30" s="225">
        <v>358.086</v>
      </c>
      <c r="Q30" s="225">
        <v>181.934</v>
      </c>
      <c r="R30" s="225">
        <f aca="true" t="shared" si="17" ref="R30:R40">SUM(S30:V30)</f>
        <v>544.851</v>
      </c>
      <c r="S30" s="225">
        <v>0.293</v>
      </c>
      <c r="T30" s="225">
        <v>544.558</v>
      </c>
      <c r="U30" s="225">
        <v>0</v>
      </c>
      <c r="V30" s="225">
        <v>0</v>
      </c>
      <c r="W30" s="223" t="s">
        <v>420</v>
      </c>
      <c r="X30" s="224" t="s">
        <v>102</v>
      </c>
      <c r="Y30" s="225">
        <f aca="true" t="shared" si="18" ref="Y30:Y40">SUM(Z30:AA30)</f>
        <v>709.481</v>
      </c>
      <c r="Z30" s="225">
        <v>36.495</v>
      </c>
      <c r="AA30" s="225">
        <v>672.986</v>
      </c>
      <c r="AB30" s="225">
        <v>328.584</v>
      </c>
      <c r="AC30" s="225">
        <v>0</v>
      </c>
      <c r="AD30" s="226">
        <v>0</v>
      </c>
      <c r="AE30" s="225">
        <v>0</v>
      </c>
      <c r="AF30" s="225">
        <v>0</v>
      </c>
      <c r="AG30" s="225">
        <f aca="true" t="shared" si="19" ref="AG30:AG40">SUM(AH30:AI30)</f>
        <v>0</v>
      </c>
      <c r="AH30" s="225"/>
      <c r="AI30" s="225"/>
      <c r="AJ30" s="225">
        <f>26.226+3078.51</f>
        <v>3104.7360000000003</v>
      </c>
      <c r="AK30" s="225"/>
      <c r="AL30" s="225">
        <v>111005.193</v>
      </c>
      <c r="AM30" s="64"/>
      <c r="AN30" s="64"/>
      <c r="AO30" s="64"/>
      <c r="AP30" s="64"/>
      <c r="AQ30" s="64"/>
      <c r="AR30" s="64"/>
    </row>
    <row r="31" spans="1:44" s="227" customFormat="1" ht="18.75" customHeight="1">
      <c r="A31" s="223" t="s">
        <v>21</v>
      </c>
      <c r="B31" s="224" t="s">
        <v>159</v>
      </c>
      <c r="C31" s="225">
        <f aca="true" t="shared" si="20" ref="C31:C40">SUM(D31,I31,M31,R31,Y31,AB31,AC31,AF31,AI31,AJ31,AK31)</f>
        <v>16165.718</v>
      </c>
      <c r="D31" s="225">
        <f t="shared" si="14"/>
        <v>6729.319</v>
      </c>
      <c r="E31" s="225">
        <f>1233.248+1850</f>
        <v>3083.248</v>
      </c>
      <c r="F31" s="225">
        <f>1489.347+311.674</f>
        <v>1801.021</v>
      </c>
      <c r="G31" s="225">
        <f>1721.666+86</f>
        <v>1807.666</v>
      </c>
      <c r="H31" s="225">
        <v>37.384</v>
      </c>
      <c r="I31" s="225">
        <f t="shared" si="15"/>
        <v>945.073</v>
      </c>
      <c r="J31" s="225">
        <v>677.072</v>
      </c>
      <c r="K31" s="226">
        <v>0</v>
      </c>
      <c r="L31" s="225">
        <v>268.001</v>
      </c>
      <c r="M31" s="225">
        <f t="shared" si="16"/>
        <v>1807.976</v>
      </c>
      <c r="N31" s="225">
        <v>995.336</v>
      </c>
      <c r="O31" s="225">
        <v>0</v>
      </c>
      <c r="P31" s="225">
        <f>662.247+48.645</f>
        <v>710.8919999999999</v>
      </c>
      <c r="Q31" s="225">
        <v>101.748</v>
      </c>
      <c r="R31" s="225">
        <f t="shared" si="17"/>
        <v>885.4169999999999</v>
      </c>
      <c r="S31" s="225">
        <v>28.266</v>
      </c>
      <c r="T31" s="225">
        <v>849.751</v>
      </c>
      <c r="U31" s="225">
        <v>7.4</v>
      </c>
      <c r="V31" s="225">
        <v>0</v>
      </c>
      <c r="W31" s="223" t="s">
        <v>21</v>
      </c>
      <c r="X31" s="224" t="s">
        <v>159</v>
      </c>
      <c r="Y31" s="225">
        <f t="shared" si="18"/>
        <v>1000.953</v>
      </c>
      <c r="Z31" s="225">
        <v>12.1</v>
      </c>
      <c r="AA31" s="225">
        <v>988.853</v>
      </c>
      <c r="AB31" s="225">
        <v>477.358</v>
      </c>
      <c r="AC31" s="225">
        <v>0</v>
      </c>
      <c r="AD31" s="226">
        <v>0</v>
      </c>
      <c r="AE31" s="225">
        <v>0</v>
      </c>
      <c r="AF31" s="225">
        <v>0</v>
      </c>
      <c r="AG31" s="225">
        <f t="shared" si="19"/>
        <v>142.7</v>
      </c>
      <c r="AH31" s="225"/>
      <c r="AI31" s="225">
        <v>142.7</v>
      </c>
      <c r="AJ31" s="225">
        <f>21.807+4155.115</f>
        <v>4176.922</v>
      </c>
      <c r="AK31" s="225"/>
      <c r="AL31" s="225">
        <v>138008.332</v>
      </c>
      <c r="AM31" s="64"/>
      <c r="AN31" s="64"/>
      <c r="AO31" s="64"/>
      <c r="AP31" s="64"/>
      <c r="AQ31" s="64"/>
      <c r="AR31" s="64"/>
    </row>
    <row r="32" spans="1:44" s="227" customFormat="1" ht="18.75" customHeight="1">
      <c r="A32" s="223" t="s">
        <v>22</v>
      </c>
      <c r="B32" s="224" t="s">
        <v>104</v>
      </c>
      <c r="C32" s="225">
        <f t="shared" si="20"/>
        <v>51521.538</v>
      </c>
      <c r="D32" s="225">
        <f t="shared" si="14"/>
        <v>7618.087</v>
      </c>
      <c r="E32" s="225">
        <f>1770.516+1000</f>
        <v>2770.516</v>
      </c>
      <c r="F32" s="225">
        <f>1357.541+890.705</f>
        <v>2248.246</v>
      </c>
      <c r="G32" s="226">
        <f>1533.256+1023.572</f>
        <v>2556.828</v>
      </c>
      <c r="H32" s="225">
        <v>42.497</v>
      </c>
      <c r="I32" s="225">
        <f t="shared" si="15"/>
        <v>1102.129</v>
      </c>
      <c r="J32" s="225">
        <v>639.607</v>
      </c>
      <c r="K32" s="226">
        <v>0</v>
      </c>
      <c r="L32" s="225">
        <v>462.522</v>
      </c>
      <c r="M32" s="225">
        <f t="shared" si="16"/>
        <v>28043.032000000003</v>
      </c>
      <c r="N32" s="225">
        <f>27469.159+45.63</f>
        <v>27514.789</v>
      </c>
      <c r="O32" s="225">
        <v>0</v>
      </c>
      <c r="P32" s="225">
        <v>355.13</v>
      </c>
      <c r="Q32" s="225">
        <v>173.113</v>
      </c>
      <c r="R32" s="225">
        <f t="shared" si="17"/>
        <v>608.9639999999999</v>
      </c>
      <c r="S32" s="225">
        <v>31.603</v>
      </c>
      <c r="T32" s="225">
        <f>462.561+113.2</f>
        <v>575.761</v>
      </c>
      <c r="U32" s="225">
        <v>1.6</v>
      </c>
      <c r="V32" s="225">
        <v>0</v>
      </c>
      <c r="W32" s="223" t="s">
        <v>22</v>
      </c>
      <c r="X32" s="224" t="s">
        <v>104</v>
      </c>
      <c r="Y32" s="225">
        <f t="shared" si="18"/>
        <v>893.933</v>
      </c>
      <c r="Z32" s="225">
        <v>39.754</v>
      </c>
      <c r="AA32" s="225">
        <v>854.179</v>
      </c>
      <c r="AB32" s="225">
        <v>402.971</v>
      </c>
      <c r="AC32" s="225">
        <v>0</v>
      </c>
      <c r="AD32" s="226">
        <v>0</v>
      </c>
      <c r="AE32" s="226">
        <v>0</v>
      </c>
      <c r="AF32" s="225">
        <v>0</v>
      </c>
      <c r="AG32" s="225">
        <f t="shared" si="19"/>
        <v>215.075</v>
      </c>
      <c r="AH32" s="225"/>
      <c r="AI32" s="225">
        <v>215.075</v>
      </c>
      <c r="AJ32" s="225">
        <f>12.907+12624.44</f>
        <v>12637.347</v>
      </c>
      <c r="AK32" s="225"/>
      <c r="AL32" s="225">
        <v>121909.409</v>
      </c>
      <c r="AM32" s="64"/>
      <c r="AN32" s="64"/>
      <c r="AO32" s="64"/>
      <c r="AP32" s="64"/>
      <c r="AQ32" s="64"/>
      <c r="AR32" s="64"/>
    </row>
    <row r="33" spans="1:44" s="227" customFormat="1" ht="18.75" customHeight="1">
      <c r="A33" s="223" t="s">
        <v>23</v>
      </c>
      <c r="B33" s="224" t="s">
        <v>160</v>
      </c>
      <c r="C33" s="225">
        <f t="shared" si="20"/>
        <v>17654.974</v>
      </c>
      <c r="D33" s="225">
        <f t="shared" si="14"/>
        <v>4405.527</v>
      </c>
      <c r="E33" s="225">
        <v>1257.846</v>
      </c>
      <c r="F33" s="225">
        <f>1320.708+300.262</f>
        <v>1620.97</v>
      </c>
      <c r="G33" s="226">
        <f>1445.423+43.725</f>
        <v>1489.148</v>
      </c>
      <c r="H33" s="225">
        <v>37.563</v>
      </c>
      <c r="I33" s="225">
        <f t="shared" si="15"/>
        <v>1404.358</v>
      </c>
      <c r="J33" s="225">
        <v>539.261</v>
      </c>
      <c r="K33" s="226">
        <v>0</v>
      </c>
      <c r="L33" s="225">
        <f>845.187+19.91</f>
        <v>865.097</v>
      </c>
      <c r="M33" s="225">
        <f t="shared" si="16"/>
        <v>1671.1399999999999</v>
      </c>
      <c r="N33" s="225">
        <f>884.523+80.03</f>
        <v>964.553</v>
      </c>
      <c r="O33" s="225">
        <v>0</v>
      </c>
      <c r="P33" s="225">
        <f>348.478+69.805</f>
        <v>418.283</v>
      </c>
      <c r="Q33" s="225">
        <v>288.304</v>
      </c>
      <c r="R33" s="225">
        <f t="shared" si="17"/>
        <v>546.091</v>
      </c>
      <c r="S33" s="225">
        <v>28.266</v>
      </c>
      <c r="T33" s="225">
        <v>471.625</v>
      </c>
      <c r="U33" s="225">
        <v>46.2</v>
      </c>
      <c r="V33" s="225">
        <v>0</v>
      </c>
      <c r="W33" s="223" t="s">
        <v>23</v>
      </c>
      <c r="X33" s="224" t="s">
        <v>160</v>
      </c>
      <c r="Y33" s="225">
        <f t="shared" si="18"/>
        <v>827.89</v>
      </c>
      <c r="Z33" s="225">
        <v>47.458</v>
      </c>
      <c r="AA33" s="225">
        <v>780.432</v>
      </c>
      <c r="AB33" s="225">
        <v>402.971</v>
      </c>
      <c r="AC33" s="225">
        <v>0</v>
      </c>
      <c r="AD33" s="226">
        <v>0</v>
      </c>
      <c r="AE33" s="226">
        <v>0</v>
      </c>
      <c r="AF33" s="225">
        <v>0</v>
      </c>
      <c r="AG33" s="225">
        <f t="shared" si="19"/>
        <v>0</v>
      </c>
      <c r="AH33" s="225"/>
      <c r="AI33" s="225">
        <v>0</v>
      </c>
      <c r="AJ33" s="225">
        <f>540+7856.997</f>
        <v>8396.997</v>
      </c>
      <c r="AK33" s="225"/>
      <c r="AL33" s="225">
        <v>119895.312</v>
      </c>
      <c r="AM33" s="64"/>
      <c r="AN33" s="64"/>
      <c r="AO33" s="64"/>
      <c r="AP33" s="64"/>
      <c r="AQ33" s="64"/>
      <c r="AR33" s="64"/>
    </row>
    <row r="34" spans="1:44" s="227" customFormat="1" ht="18.75" customHeight="1">
      <c r="A34" s="223" t="s">
        <v>24</v>
      </c>
      <c r="B34" s="224" t="s">
        <v>161</v>
      </c>
      <c r="C34" s="225">
        <f t="shared" si="20"/>
        <v>15024.314999999999</v>
      </c>
      <c r="D34" s="225">
        <f t="shared" si="14"/>
        <v>3799.6940000000004</v>
      </c>
      <c r="E34" s="225">
        <v>1214.324</v>
      </c>
      <c r="F34" s="225">
        <f>1094.321+120.755</f>
        <v>1215.076</v>
      </c>
      <c r="G34" s="226">
        <f>1314.338+16</f>
        <v>1330.338</v>
      </c>
      <c r="H34" s="225">
        <v>39.956</v>
      </c>
      <c r="I34" s="225">
        <f t="shared" si="15"/>
        <v>875.279</v>
      </c>
      <c r="J34" s="225">
        <v>160.93</v>
      </c>
      <c r="K34" s="226">
        <v>0</v>
      </c>
      <c r="L34" s="225">
        <v>714.349</v>
      </c>
      <c r="M34" s="225">
        <f t="shared" si="16"/>
        <v>3530.214</v>
      </c>
      <c r="N34" s="225">
        <f>955.506+62.892</f>
        <v>1018.398</v>
      </c>
      <c r="O34" s="225">
        <v>0</v>
      </c>
      <c r="P34" s="225">
        <f>355.218+1720.505</f>
        <v>2075.723</v>
      </c>
      <c r="Q34" s="225">
        <v>436.093</v>
      </c>
      <c r="R34" s="225">
        <f t="shared" si="17"/>
        <v>3327.051</v>
      </c>
      <c r="S34" s="225">
        <v>29.334</v>
      </c>
      <c r="T34" s="225">
        <v>3297.717</v>
      </c>
      <c r="U34" s="225">
        <v>0</v>
      </c>
      <c r="V34" s="225">
        <v>0</v>
      </c>
      <c r="W34" s="223" t="s">
        <v>24</v>
      </c>
      <c r="X34" s="224" t="s">
        <v>161</v>
      </c>
      <c r="Y34" s="225">
        <f t="shared" si="18"/>
        <v>1023.948</v>
      </c>
      <c r="Z34" s="225">
        <v>219.85</v>
      </c>
      <c r="AA34" s="225">
        <v>804.098</v>
      </c>
      <c r="AB34" s="225">
        <v>695.371</v>
      </c>
      <c r="AC34" s="225">
        <v>0</v>
      </c>
      <c r="AD34" s="226">
        <v>0</v>
      </c>
      <c r="AE34" s="226">
        <v>0</v>
      </c>
      <c r="AF34" s="225">
        <v>0</v>
      </c>
      <c r="AG34" s="225">
        <f t="shared" si="19"/>
        <v>0</v>
      </c>
      <c r="AH34" s="225">
        <v>0</v>
      </c>
      <c r="AI34" s="225">
        <v>0</v>
      </c>
      <c r="AJ34" s="225">
        <f>1215.907+556.851</f>
        <v>1772.7579999999998</v>
      </c>
      <c r="AK34" s="225"/>
      <c r="AL34" s="225">
        <v>119938.722</v>
      </c>
      <c r="AM34" s="64"/>
      <c r="AN34" s="64"/>
      <c r="AO34" s="64"/>
      <c r="AP34" s="64"/>
      <c r="AQ34" s="64"/>
      <c r="AR34" s="64"/>
    </row>
    <row r="35" spans="1:44" s="227" customFormat="1" ht="18.75" customHeight="1">
      <c r="A35" s="228" t="s">
        <v>14</v>
      </c>
      <c r="B35" s="224" t="s">
        <v>162</v>
      </c>
      <c r="C35" s="225">
        <f t="shared" si="20"/>
        <v>21717.368000000002</v>
      </c>
      <c r="D35" s="225">
        <f t="shared" si="14"/>
        <v>4773.164000000001</v>
      </c>
      <c r="E35" s="225">
        <v>1457.604</v>
      </c>
      <c r="F35" s="225">
        <f>1576.568+153.729</f>
        <v>1730.297</v>
      </c>
      <c r="G35" s="226">
        <f>1471.555+71.733</f>
        <v>1543.288</v>
      </c>
      <c r="H35" s="225">
        <v>41.975</v>
      </c>
      <c r="I35" s="225">
        <f t="shared" si="15"/>
        <v>1117.719</v>
      </c>
      <c r="J35" s="225">
        <v>255.286</v>
      </c>
      <c r="K35" s="226">
        <v>0</v>
      </c>
      <c r="L35" s="225">
        <v>862.433</v>
      </c>
      <c r="M35" s="225">
        <f t="shared" si="16"/>
        <v>4635.648999999999</v>
      </c>
      <c r="N35" s="225">
        <f>1174.262+62.48</f>
        <v>1236.742</v>
      </c>
      <c r="O35" s="225">
        <v>0</v>
      </c>
      <c r="P35" s="225">
        <f>369.638+2014.423</f>
        <v>2384.061</v>
      </c>
      <c r="Q35" s="225">
        <v>1014.846</v>
      </c>
      <c r="R35" s="225">
        <f t="shared" si="17"/>
        <v>720.547</v>
      </c>
      <c r="S35" s="225">
        <v>28.143</v>
      </c>
      <c r="T35" s="225">
        <v>546.826</v>
      </c>
      <c r="U35" s="225">
        <v>145.578</v>
      </c>
      <c r="V35" s="225">
        <v>0</v>
      </c>
      <c r="W35" s="228" t="s">
        <v>14</v>
      </c>
      <c r="X35" s="224" t="s">
        <v>162</v>
      </c>
      <c r="Y35" s="225">
        <f t="shared" si="18"/>
        <v>1719.422</v>
      </c>
      <c r="Z35" s="225">
        <v>74.577</v>
      </c>
      <c r="AA35" s="225">
        <f>803.308+841.537</f>
        <v>1644.845</v>
      </c>
      <c r="AB35" s="225">
        <v>2273.789</v>
      </c>
      <c r="AC35" s="225">
        <v>0</v>
      </c>
      <c r="AD35" s="226">
        <v>0</v>
      </c>
      <c r="AE35" s="226">
        <v>0</v>
      </c>
      <c r="AF35" s="225">
        <v>0</v>
      </c>
      <c r="AG35" s="225">
        <f t="shared" si="19"/>
        <v>80.54</v>
      </c>
      <c r="AH35" s="225"/>
      <c r="AI35" s="225">
        <v>80.54</v>
      </c>
      <c r="AJ35" s="225">
        <f>385.814+6010.724</f>
        <v>6396.5380000000005</v>
      </c>
      <c r="AK35" s="225"/>
      <c r="AL35" s="225">
        <v>118817.911</v>
      </c>
      <c r="AM35" s="64"/>
      <c r="AN35" s="64"/>
      <c r="AO35" s="64"/>
      <c r="AP35" s="64"/>
      <c r="AQ35" s="64"/>
      <c r="AR35" s="64"/>
    </row>
    <row r="36" spans="1:44" s="227" customFormat="1" ht="18.75" customHeight="1">
      <c r="A36" s="223" t="s">
        <v>15</v>
      </c>
      <c r="B36" s="224" t="s">
        <v>108</v>
      </c>
      <c r="C36" s="225">
        <f t="shared" si="20"/>
        <v>10879.619999999999</v>
      </c>
      <c r="D36" s="225">
        <f t="shared" si="14"/>
        <v>4707.741</v>
      </c>
      <c r="E36" s="225">
        <f>734.504+800</f>
        <v>1534.504</v>
      </c>
      <c r="F36" s="225">
        <v>1383.657</v>
      </c>
      <c r="G36" s="226">
        <f>1337.234+414.555</f>
        <v>1751.789</v>
      </c>
      <c r="H36" s="225">
        <v>37.791</v>
      </c>
      <c r="I36" s="225">
        <f t="shared" si="15"/>
        <v>524.124</v>
      </c>
      <c r="J36" s="225">
        <v>129.324</v>
      </c>
      <c r="K36" s="226">
        <v>0</v>
      </c>
      <c r="L36" s="226">
        <v>394.8</v>
      </c>
      <c r="M36" s="225">
        <f t="shared" si="16"/>
        <v>2048.4489999999996</v>
      </c>
      <c r="N36" s="225">
        <f>992.483+54.302</f>
        <v>1046.7849999999999</v>
      </c>
      <c r="O36" s="225">
        <v>0</v>
      </c>
      <c r="P36" s="225">
        <f>361.51+338.733</f>
        <v>700.2429999999999</v>
      </c>
      <c r="Q36" s="225">
        <v>301.421</v>
      </c>
      <c r="R36" s="225">
        <f t="shared" si="17"/>
        <v>641.283</v>
      </c>
      <c r="S36" s="225">
        <v>32.542</v>
      </c>
      <c r="T36" s="225">
        <v>608.741</v>
      </c>
      <c r="U36" s="225">
        <v>0</v>
      </c>
      <c r="V36" s="225">
        <v>0</v>
      </c>
      <c r="W36" s="223" t="s">
        <v>15</v>
      </c>
      <c r="X36" s="224" t="s">
        <v>108</v>
      </c>
      <c r="Y36" s="225">
        <f t="shared" si="18"/>
        <v>1235.118</v>
      </c>
      <c r="Z36" s="225">
        <v>431.283</v>
      </c>
      <c r="AA36" s="225">
        <v>803.835</v>
      </c>
      <c r="AB36" s="225">
        <v>425.086</v>
      </c>
      <c r="AC36" s="225">
        <v>0</v>
      </c>
      <c r="AD36" s="226">
        <v>0</v>
      </c>
      <c r="AE36" s="226">
        <v>0</v>
      </c>
      <c r="AF36" s="225">
        <v>0</v>
      </c>
      <c r="AG36" s="225">
        <f t="shared" si="19"/>
        <v>0</v>
      </c>
      <c r="AH36" s="225"/>
      <c r="AI36" s="225"/>
      <c r="AJ36" s="225">
        <f>682+615.819</f>
        <v>1297.819</v>
      </c>
      <c r="AK36" s="225"/>
      <c r="AL36" s="225">
        <v>119810.183</v>
      </c>
      <c r="AM36" s="64"/>
      <c r="AN36" s="64"/>
      <c r="AO36" s="64"/>
      <c r="AP36" s="64"/>
      <c r="AQ36" s="64"/>
      <c r="AR36" s="64"/>
    </row>
    <row r="37" spans="1:44" s="227" customFormat="1" ht="18.75" customHeight="1">
      <c r="A37" s="223" t="s">
        <v>16</v>
      </c>
      <c r="B37" s="224" t="s">
        <v>109</v>
      </c>
      <c r="C37" s="225">
        <f t="shared" si="20"/>
        <v>11362.611999999997</v>
      </c>
      <c r="D37" s="225">
        <f t="shared" si="14"/>
        <v>3921.598</v>
      </c>
      <c r="E37" s="225">
        <v>1166.904</v>
      </c>
      <c r="F37" s="225">
        <f>1215.917+134.5</f>
        <v>1350.417</v>
      </c>
      <c r="G37" s="226">
        <f>1321.662+34.5</f>
        <v>1356.162</v>
      </c>
      <c r="H37" s="225">
        <v>48.115</v>
      </c>
      <c r="I37" s="225">
        <f t="shared" si="15"/>
        <v>651.918</v>
      </c>
      <c r="J37" s="225">
        <v>152.054</v>
      </c>
      <c r="K37" s="226">
        <v>0</v>
      </c>
      <c r="L37" s="225">
        <v>499.864</v>
      </c>
      <c r="M37" s="225">
        <f t="shared" si="16"/>
        <v>2953.463</v>
      </c>
      <c r="N37" s="225">
        <v>1012.798</v>
      </c>
      <c r="O37" s="225">
        <v>0</v>
      </c>
      <c r="P37" s="225">
        <f>352.991+1141.565</f>
        <v>1494.556</v>
      </c>
      <c r="Q37" s="225">
        <v>446.109</v>
      </c>
      <c r="R37" s="225">
        <f t="shared" si="17"/>
        <v>1145.3739999999998</v>
      </c>
      <c r="S37" s="225">
        <v>25.956</v>
      </c>
      <c r="T37" s="225">
        <v>1088.918</v>
      </c>
      <c r="U37" s="225">
        <v>30.5</v>
      </c>
      <c r="V37" s="225">
        <v>0</v>
      </c>
      <c r="W37" s="223" t="s">
        <v>469</v>
      </c>
      <c r="X37" s="224" t="s">
        <v>109</v>
      </c>
      <c r="Y37" s="225">
        <f t="shared" si="18"/>
        <v>1413.657</v>
      </c>
      <c r="Z37" s="225">
        <v>501.84</v>
      </c>
      <c r="AA37" s="225">
        <v>911.817</v>
      </c>
      <c r="AB37" s="225">
        <v>425.086</v>
      </c>
      <c r="AC37" s="225">
        <v>0</v>
      </c>
      <c r="AD37" s="226">
        <v>0</v>
      </c>
      <c r="AE37" s="226">
        <v>0</v>
      </c>
      <c r="AF37" s="225">
        <v>0</v>
      </c>
      <c r="AG37" s="225">
        <f t="shared" si="19"/>
        <v>0</v>
      </c>
      <c r="AH37" s="225"/>
      <c r="AI37" s="225">
        <v>0</v>
      </c>
      <c r="AJ37" s="225">
        <f>25.814+825.702</f>
        <v>851.516</v>
      </c>
      <c r="AK37" s="225"/>
      <c r="AL37" s="225">
        <v>110308.276</v>
      </c>
      <c r="AM37" s="64"/>
      <c r="AN37" s="64"/>
      <c r="AO37" s="64"/>
      <c r="AP37" s="64"/>
      <c r="AQ37" s="64"/>
      <c r="AR37" s="64"/>
    </row>
    <row r="38" spans="1:44" s="227" customFormat="1" ht="18.75" customHeight="1">
      <c r="A38" s="223" t="s">
        <v>17</v>
      </c>
      <c r="B38" s="224" t="s">
        <v>110</v>
      </c>
      <c r="C38" s="225">
        <f t="shared" si="20"/>
        <v>10939.385</v>
      </c>
      <c r="D38" s="225">
        <f t="shared" si="14"/>
        <v>4025.2700000000004</v>
      </c>
      <c r="E38" s="225">
        <v>1077.154</v>
      </c>
      <c r="F38" s="225">
        <f>1464.066+10.08</f>
        <v>1474.146</v>
      </c>
      <c r="G38" s="226">
        <f>1376.412+60</f>
        <v>1436.412</v>
      </c>
      <c r="H38" s="225">
        <v>37.558</v>
      </c>
      <c r="I38" s="225">
        <f t="shared" si="15"/>
        <v>1243.408</v>
      </c>
      <c r="J38" s="225">
        <v>270.971</v>
      </c>
      <c r="K38" s="226">
        <v>0</v>
      </c>
      <c r="L38" s="225">
        <v>972.437</v>
      </c>
      <c r="M38" s="225">
        <f t="shared" si="16"/>
        <v>1891.0749999999998</v>
      </c>
      <c r="N38" s="225">
        <f>1118.002+22.85</f>
        <v>1140.8519999999999</v>
      </c>
      <c r="O38" s="225">
        <v>0</v>
      </c>
      <c r="P38" s="225">
        <f>360.258+41.656</f>
        <v>401.914</v>
      </c>
      <c r="Q38" s="225">
        <f>332.341+15.968</f>
        <v>348.309</v>
      </c>
      <c r="R38" s="225">
        <f t="shared" si="17"/>
        <v>941.587</v>
      </c>
      <c r="S38" s="225">
        <v>27.881</v>
      </c>
      <c r="T38" s="225">
        <v>514.855</v>
      </c>
      <c r="U38" s="225">
        <v>398.851</v>
      </c>
      <c r="V38" s="225">
        <v>0</v>
      </c>
      <c r="W38" s="223" t="s">
        <v>17</v>
      </c>
      <c r="X38" s="224" t="s">
        <v>110</v>
      </c>
      <c r="Y38" s="225">
        <f t="shared" si="18"/>
        <v>906.565</v>
      </c>
      <c r="Z38" s="225">
        <v>19.043</v>
      </c>
      <c r="AA38" s="225">
        <v>887.522</v>
      </c>
      <c r="AB38" s="225">
        <v>0</v>
      </c>
      <c r="AC38" s="225">
        <v>0</v>
      </c>
      <c r="AD38" s="226">
        <v>0</v>
      </c>
      <c r="AE38" s="226">
        <v>0</v>
      </c>
      <c r="AF38" s="225">
        <v>0</v>
      </c>
      <c r="AG38" s="225">
        <f t="shared" si="19"/>
        <v>247.971</v>
      </c>
      <c r="AH38" s="225"/>
      <c r="AI38" s="225">
        <f>138.9+109.071</f>
        <v>247.971</v>
      </c>
      <c r="AJ38" s="225">
        <f>12.907+1670.602</f>
        <v>1683.509</v>
      </c>
      <c r="AK38" s="225"/>
      <c r="AL38" s="225">
        <v>124530.633</v>
      </c>
      <c r="AM38" s="64"/>
      <c r="AN38" s="64"/>
      <c r="AO38" s="64"/>
      <c r="AP38" s="64"/>
      <c r="AQ38" s="64"/>
      <c r="AR38" s="64"/>
    </row>
    <row r="39" spans="1:44" s="227" customFormat="1" ht="18" customHeight="1">
      <c r="A39" s="223" t="s">
        <v>18</v>
      </c>
      <c r="B39" s="224" t="s">
        <v>111</v>
      </c>
      <c r="C39" s="225">
        <f t="shared" si="20"/>
        <v>12897.251</v>
      </c>
      <c r="D39" s="225">
        <f t="shared" si="14"/>
        <v>4735.8330000000005</v>
      </c>
      <c r="E39" s="225">
        <v>1326.604</v>
      </c>
      <c r="F39" s="225">
        <f>1321.871+58</f>
        <v>1379.871</v>
      </c>
      <c r="G39" s="226">
        <f>1949.331+42.91</f>
        <v>1992.241</v>
      </c>
      <c r="H39" s="225">
        <v>37.117</v>
      </c>
      <c r="I39" s="225">
        <f t="shared" si="15"/>
        <v>864.114</v>
      </c>
      <c r="J39" s="225">
        <v>378.491</v>
      </c>
      <c r="K39" s="226">
        <v>0</v>
      </c>
      <c r="L39" s="225">
        <v>485.623</v>
      </c>
      <c r="M39" s="225">
        <f t="shared" si="16"/>
        <v>3041.09</v>
      </c>
      <c r="N39" s="225">
        <f>1048.246+13.62</f>
        <v>1061.866</v>
      </c>
      <c r="O39" s="225">
        <v>0</v>
      </c>
      <c r="P39" s="225">
        <f>378.395+445.127</f>
        <v>823.5219999999999</v>
      </c>
      <c r="Q39" s="225">
        <f>615.471+540.231</f>
        <v>1155.702</v>
      </c>
      <c r="R39" s="225">
        <f t="shared" si="17"/>
        <v>590.418</v>
      </c>
      <c r="S39" s="225">
        <v>27.881</v>
      </c>
      <c r="T39" s="225">
        <v>421.937</v>
      </c>
      <c r="U39" s="225">
        <v>140.6</v>
      </c>
      <c r="V39" s="225">
        <v>0</v>
      </c>
      <c r="W39" s="223" t="s">
        <v>18</v>
      </c>
      <c r="X39" s="224" t="s">
        <v>111</v>
      </c>
      <c r="Y39" s="225">
        <f t="shared" si="18"/>
        <v>994.3729999999999</v>
      </c>
      <c r="Z39" s="225">
        <v>80.954</v>
      </c>
      <c r="AA39" s="225">
        <v>913.419</v>
      </c>
      <c r="AB39" s="225">
        <v>850</v>
      </c>
      <c r="AC39" s="225">
        <v>0</v>
      </c>
      <c r="AD39" s="226">
        <v>0</v>
      </c>
      <c r="AE39" s="226">
        <v>0</v>
      </c>
      <c r="AF39" s="225">
        <v>0</v>
      </c>
      <c r="AG39" s="225">
        <f t="shared" si="19"/>
        <v>0</v>
      </c>
      <c r="AH39" s="225"/>
      <c r="AI39" s="225">
        <v>0</v>
      </c>
      <c r="AJ39" s="225">
        <f>27.866+1793.557</f>
        <v>1821.423</v>
      </c>
      <c r="AK39" s="225"/>
      <c r="AL39" s="225">
        <v>125644.3434</v>
      </c>
      <c r="AM39" s="64"/>
      <c r="AN39" s="64"/>
      <c r="AO39" s="64"/>
      <c r="AP39" s="64"/>
      <c r="AQ39" s="64"/>
      <c r="AR39" s="64"/>
    </row>
    <row r="40" spans="1:44" s="227" customFormat="1" ht="18.75" customHeight="1">
      <c r="A40" s="223" t="s">
        <v>52</v>
      </c>
      <c r="B40" s="224" t="s">
        <v>163</v>
      </c>
      <c r="C40" s="225">
        <f t="shared" si="20"/>
        <v>59800.592</v>
      </c>
      <c r="D40" s="225">
        <f t="shared" si="14"/>
        <v>5783.94</v>
      </c>
      <c r="E40" s="225">
        <f>209.193-718.017</f>
        <v>-508.82400000000007</v>
      </c>
      <c r="F40" s="225">
        <f>1623.486+376.26</f>
        <v>1999.746</v>
      </c>
      <c r="G40" s="225">
        <f>2911.824+1285.84</f>
        <v>4197.664</v>
      </c>
      <c r="H40" s="225">
        <v>95.354</v>
      </c>
      <c r="I40" s="225">
        <f t="shared" si="15"/>
        <v>2222.547</v>
      </c>
      <c r="J40" s="225">
        <v>613.076</v>
      </c>
      <c r="K40" s="226">
        <v>0</v>
      </c>
      <c r="L40" s="225">
        <f>1549.471+60</f>
        <v>1609.471</v>
      </c>
      <c r="M40" s="225">
        <f t="shared" si="16"/>
        <v>40182.543</v>
      </c>
      <c r="N40" s="225">
        <f>34588.308+107.874</f>
        <v>34696.182</v>
      </c>
      <c r="O40" s="225">
        <v>0</v>
      </c>
      <c r="P40" s="225">
        <f>122.707+3106.226</f>
        <v>3228.933</v>
      </c>
      <c r="Q40" s="225">
        <f>2177.657+79.771</f>
        <v>2257.4280000000003</v>
      </c>
      <c r="R40" s="225">
        <f t="shared" si="17"/>
        <v>1566.432</v>
      </c>
      <c r="S40" s="225">
        <v>59.143</v>
      </c>
      <c r="T40" s="225">
        <v>329.278</v>
      </c>
      <c r="U40" s="225">
        <v>1178.011</v>
      </c>
      <c r="V40" s="225">
        <v>0</v>
      </c>
      <c r="W40" s="223" t="s">
        <v>52</v>
      </c>
      <c r="X40" s="224" t="s">
        <v>163</v>
      </c>
      <c r="Y40" s="225">
        <f t="shared" si="18"/>
        <v>1707.4010000000003</v>
      </c>
      <c r="Z40" s="225">
        <v>143.795</v>
      </c>
      <c r="AA40" s="225">
        <f>1535.553+28.053</f>
        <v>1563.6060000000002</v>
      </c>
      <c r="AB40" s="225">
        <v>0</v>
      </c>
      <c r="AC40" s="225">
        <v>0</v>
      </c>
      <c r="AD40" s="226">
        <v>0</v>
      </c>
      <c r="AE40" s="226">
        <v>0</v>
      </c>
      <c r="AF40" s="225">
        <v>0</v>
      </c>
      <c r="AG40" s="225">
        <f t="shared" si="19"/>
        <v>713.0889999999999</v>
      </c>
      <c r="AH40" s="225"/>
      <c r="AI40" s="225">
        <f>267.05+446.039</f>
        <v>713.0889999999999</v>
      </c>
      <c r="AJ40" s="225">
        <f>558.742+7065.898</f>
        <v>7624.64</v>
      </c>
      <c r="AK40" s="225"/>
      <c r="AL40" s="225">
        <v>130311.349</v>
      </c>
      <c r="AM40" s="64"/>
      <c r="AN40" s="64"/>
      <c r="AO40" s="64"/>
      <c r="AP40" s="64"/>
      <c r="AQ40" s="64"/>
      <c r="AR40" s="64"/>
    </row>
    <row r="41" spans="1:44" ht="11.25" customHeight="1" thickBot="1">
      <c r="A41" s="53"/>
      <c r="B41" s="6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68"/>
      <c r="S41" s="68"/>
      <c r="T41" s="68"/>
      <c r="U41" s="68"/>
      <c r="V41" s="68"/>
      <c r="W41" s="53"/>
      <c r="X41" s="60"/>
      <c r="Y41" s="68"/>
      <c r="Z41" s="68"/>
      <c r="AA41" s="68"/>
      <c r="AB41" s="68"/>
      <c r="AC41" s="69"/>
      <c r="AD41" s="69"/>
      <c r="AE41" s="68"/>
      <c r="AF41" s="68"/>
      <c r="AG41" s="68"/>
      <c r="AH41" s="68"/>
      <c r="AI41" s="68"/>
      <c r="AJ41" s="68"/>
      <c r="AK41" s="68"/>
      <c r="AL41" s="68"/>
      <c r="AM41" s="67"/>
      <c r="AN41" s="66"/>
      <c r="AO41" s="66"/>
      <c r="AP41" s="66"/>
      <c r="AQ41" s="66"/>
      <c r="AR41" s="66"/>
    </row>
    <row r="42" spans="1:38" s="47" customFormat="1" ht="15.75" customHeight="1">
      <c r="A42" s="254" t="s">
        <v>455</v>
      </c>
      <c r="B42" s="38"/>
      <c r="C42" s="50"/>
      <c r="W42" s="38" t="s">
        <v>455</v>
      </c>
      <c r="X42" s="38"/>
      <c r="Y42" s="40"/>
      <c r="AC42" s="70"/>
      <c r="AF42" s="40"/>
      <c r="AG42" s="40"/>
      <c r="AH42" s="40"/>
      <c r="AJ42" s="40"/>
      <c r="AK42" s="40"/>
      <c r="AL42" s="40"/>
    </row>
    <row r="43" spans="1:38" s="47" customFormat="1" ht="12.75" customHeight="1">
      <c r="A43" s="71" t="s">
        <v>11</v>
      </c>
      <c r="B43" s="71"/>
      <c r="C43" s="50"/>
      <c r="W43" s="71" t="s">
        <v>11</v>
      </c>
      <c r="X43" s="71"/>
      <c r="Y43" s="40"/>
      <c r="AC43" s="70"/>
      <c r="AF43" s="40"/>
      <c r="AG43" s="40"/>
      <c r="AH43" s="40"/>
      <c r="AJ43" s="40"/>
      <c r="AK43" s="40"/>
      <c r="AL43" s="40"/>
    </row>
    <row r="44" spans="1:38" ht="19.5" customHeight="1">
      <c r="A44" s="72"/>
      <c r="B44" s="72"/>
      <c r="C44" s="73"/>
      <c r="W44" s="72"/>
      <c r="X44" s="72"/>
      <c r="Y44" s="74"/>
      <c r="AC44" s="75"/>
      <c r="AF44" s="74"/>
      <c r="AG44" s="74"/>
      <c r="AH44" s="74"/>
      <c r="AJ44" s="74"/>
      <c r="AK44" s="74"/>
      <c r="AL44" s="74"/>
    </row>
    <row r="45" spans="1:38" ht="19.5" customHeight="1">
      <c r="A45" s="72"/>
      <c r="B45" s="72"/>
      <c r="C45" s="73"/>
      <c r="W45" s="72"/>
      <c r="X45" s="72"/>
      <c r="Y45" s="74"/>
      <c r="AC45" s="75"/>
      <c r="AF45" s="74"/>
      <c r="AG45" s="74"/>
      <c r="AH45" s="74"/>
      <c r="AJ45" s="74"/>
      <c r="AK45" s="74"/>
      <c r="AL45" s="74"/>
    </row>
    <row r="46" spans="1:38" ht="19.5" customHeight="1">
      <c r="A46" s="72"/>
      <c r="B46" s="72"/>
      <c r="C46" s="73"/>
      <c r="W46" s="72"/>
      <c r="X46" s="72"/>
      <c r="Y46" s="74"/>
      <c r="AC46" s="75"/>
      <c r="AF46" s="74"/>
      <c r="AG46" s="74"/>
      <c r="AH46" s="74"/>
      <c r="AJ46" s="74"/>
      <c r="AK46" s="74"/>
      <c r="AL46" s="74"/>
    </row>
    <row r="47" spans="1:38" ht="19.5" customHeight="1">
      <c r="A47" s="72"/>
      <c r="B47" s="72"/>
      <c r="C47" s="73"/>
      <c r="W47" s="72"/>
      <c r="X47" s="72"/>
      <c r="Y47" s="74"/>
      <c r="AC47" s="75"/>
      <c r="AF47" s="74"/>
      <c r="AG47" s="74"/>
      <c r="AH47" s="74"/>
      <c r="AJ47" s="74"/>
      <c r="AK47" s="74"/>
      <c r="AL47" s="74"/>
    </row>
    <row r="48" spans="1:24" ht="19.5" customHeight="1">
      <c r="A48" s="76"/>
      <c r="B48" s="76"/>
      <c r="C48" s="73"/>
      <c r="W48" s="76"/>
      <c r="X48" s="76"/>
    </row>
    <row r="49" spans="1:24" ht="19.5" customHeight="1">
      <c r="A49" s="76"/>
      <c r="B49" s="76"/>
      <c r="C49" s="73"/>
      <c r="W49" s="76"/>
      <c r="X49" s="76"/>
    </row>
    <row r="50" spans="1:24" ht="19.5" customHeight="1">
      <c r="A50" s="76"/>
      <c r="B50" s="76"/>
      <c r="C50" s="73"/>
      <c r="W50" s="76"/>
      <c r="X50" s="76"/>
    </row>
    <row r="51" spans="1:24" ht="19.5" customHeight="1">
      <c r="A51" s="76"/>
      <c r="B51" s="76"/>
      <c r="C51" s="73"/>
      <c r="W51" s="76"/>
      <c r="X51" s="76"/>
    </row>
    <row r="52" spans="1:24" ht="19.5" customHeight="1">
      <c r="A52" s="76"/>
      <c r="B52" s="76"/>
      <c r="C52" s="73"/>
      <c r="W52" s="76"/>
      <c r="X52" s="76"/>
    </row>
    <row r="53" spans="1:24" ht="19.5" customHeight="1">
      <c r="A53" s="76"/>
      <c r="B53" s="76"/>
      <c r="C53" s="73"/>
      <c r="W53" s="76"/>
      <c r="X53" s="76"/>
    </row>
    <row r="54" spans="1:24" ht="19.5" customHeight="1">
      <c r="A54" s="76"/>
      <c r="B54" s="76"/>
      <c r="C54" s="73"/>
      <c r="W54" s="76"/>
      <c r="X54" s="76"/>
    </row>
    <row r="55" spans="1:24" ht="19.5" customHeight="1">
      <c r="A55" s="76"/>
      <c r="B55" s="76"/>
      <c r="C55" s="73"/>
      <c r="W55" s="76"/>
      <c r="X55" s="76"/>
    </row>
    <row r="56" spans="1:24" ht="19.5" customHeight="1">
      <c r="A56" s="76"/>
      <c r="B56" s="76"/>
      <c r="C56" s="73"/>
      <c r="W56" s="76"/>
      <c r="X56" s="76"/>
    </row>
    <row r="57" spans="1:24" ht="19.5" customHeight="1">
      <c r="A57" s="76"/>
      <c r="B57" s="76"/>
      <c r="C57" s="73"/>
      <c r="W57" s="76"/>
      <c r="X57" s="76"/>
    </row>
    <row r="58" spans="1:24" ht="19.5" customHeight="1">
      <c r="A58" s="76"/>
      <c r="B58" s="76"/>
      <c r="C58" s="73"/>
      <c r="W58" s="76"/>
      <c r="X58" s="76"/>
    </row>
    <row r="59" spans="1:24" ht="19.5" customHeight="1">
      <c r="A59" s="76"/>
      <c r="B59" s="76"/>
      <c r="C59" s="73"/>
      <c r="W59" s="76"/>
      <c r="X59" s="76"/>
    </row>
    <row r="60" spans="1:24" ht="19.5" customHeight="1">
      <c r="A60" s="76"/>
      <c r="B60" s="76"/>
      <c r="C60" s="73"/>
      <c r="W60" s="76"/>
      <c r="X60" s="76"/>
    </row>
    <row r="61" spans="1:24" ht="19.5" customHeight="1">
      <c r="A61" s="76"/>
      <c r="B61" s="76"/>
      <c r="C61" s="73"/>
      <c r="W61" s="76"/>
      <c r="X61" s="76"/>
    </row>
    <row r="62" spans="1:24" ht="19.5" customHeight="1">
      <c r="A62" s="76"/>
      <c r="B62" s="76"/>
      <c r="C62" s="73"/>
      <c r="W62" s="76"/>
      <c r="X62" s="76"/>
    </row>
    <row r="63" spans="1:24" ht="19.5" customHeight="1">
      <c r="A63" s="76"/>
      <c r="B63" s="76"/>
      <c r="C63" s="73"/>
      <c r="W63" s="76"/>
      <c r="X63" s="76"/>
    </row>
    <row r="64" spans="1:24" ht="19.5" customHeight="1">
      <c r="A64" s="76"/>
      <c r="B64" s="76"/>
      <c r="C64" s="73"/>
      <c r="W64" s="76"/>
      <c r="X64" s="76"/>
    </row>
    <row r="65" spans="1:24" ht="19.5" customHeight="1">
      <c r="A65" s="76"/>
      <c r="B65" s="76"/>
      <c r="C65" s="73"/>
      <c r="W65" s="76"/>
      <c r="X65" s="76"/>
    </row>
    <row r="66" spans="1:24" ht="19.5" customHeight="1">
      <c r="A66" s="76"/>
      <c r="B66" s="76"/>
      <c r="C66" s="73"/>
      <c r="W66" s="76"/>
      <c r="X66" s="76"/>
    </row>
    <row r="67" spans="1:24" ht="19.5" customHeight="1">
      <c r="A67" s="76"/>
      <c r="B67" s="76"/>
      <c r="C67" s="73"/>
      <c r="W67" s="76"/>
      <c r="X67" s="76"/>
    </row>
    <row r="68" spans="1:24" ht="19.5" customHeight="1">
      <c r="A68" s="76"/>
      <c r="B68" s="76"/>
      <c r="C68" s="73"/>
      <c r="W68" s="76"/>
      <c r="X68" s="76"/>
    </row>
    <row r="69" spans="1:24" ht="19.5" customHeight="1">
      <c r="A69" s="76"/>
      <c r="B69" s="76"/>
      <c r="C69" s="73"/>
      <c r="W69" s="76"/>
      <c r="X69" s="76"/>
    </row>
    <row r="70" spans="1:24" ht="19.5" customHeight="1">
      <c r="A70" s="76"/>
      <c r="B70" s="76"/>
      <c r="C70" s="73"/>
      <c r="W70" s="76"/>
      <c r="X70" s="76"/>
    </row>
    <row r="71" spans="1:24" ht="19.5" customHeight="1">
      <c r="A71" s="76"/>
      <c r="B71" s="76"/>
      <c r="C71" s="73"/>
      <c r="W71" s="76"/>
      <c r="X71" s="76"/>
    </row>
    <row r="72" spans="1:24" ht="19.5" customHeight="1">
      <c r="A72" s="76"/>
      <c r="B72" s="76"/>
      <c r="C72" s="73"/>
      <c r="W72" s="76"/>
      <c r="X72" s="76"/>
    </row>
    <row r="73" spans="1:24" ht="19.5" customHeight="1">
      <c r="A73" s="76"/>
      <c r="B73" s="76"/>
      <c r="C73" s="73"/>
      <c r="W73" s="76"/>
      <c r="X73" s="76"/>
    </row>
    <row r="74" spans="1:24" ht="19.5" customHeight="1">
      <c r="A74" s="76"/>
      <c r="B74" s="76"/>
      <c r="C74" s="73"/>
      <c r="W74" s="76"/>
      <c r="X74" s="76"/>
    </row>
    <row r="75" spans="1:24" ht="19.5" customHeight="1">
      <c r="A75" s="76"/>
      <c r="B75" s="76"/>
      <c r="C75" s="73"/>
      <c r="W75" s="76"/>
      <c r="X75" s="76"/>
    </row>
    <row r="76" spans="1:24" ht="19.5" customHeight="1">
      <c r="A76" s="76"/>
      <c r="B76" s="76"/>
      <c r="C76" s="73"/>
      <c r="W76" s="76"/>
      <c r="X76" s="76"/>
    </row>
    <row r="77" spans="1:24" ht="19.5" customHeight="1">
      <c r="A77" s="76"/>
      <c r="B77" s="76"/>
      <c r="C77" s="73"/>
      <c r="W77" s="76"/>
      <c r="X77" s="76"/>
    </row>
    <row r="78" spans="1:24" ht="19.5" customHeight="1">
      <c r="A78" s="76"/>
      <c r="B78" s="76"/>
      <c r="C78" s="73"/>
      <c r="W78" s="76"/>
      <c r="X78" s="76"/>
    </row>
    <row r="79" spans="1:24" ht="19.5" customHeight="1">
      <c r="A79" s="76"/>
      <c r="B79" s="76"/>
      <c r="C79" s="73"/>
      <c r="W79" s="76"/>
      <c r="X79" s="76"/>
    </row>
    <row r="80" spans="1:24" ht="19.5" customHeight="1">
      <c r="A80" s="76"/>
      <c r="B80" s="76"/>
      <c r="C80" s="73"/>
      <c r="W80" s="76"/>
      <c r="X80" s="76"/>
    </row>
    <row r="81" spans="1:24" ht="19.5" customHeight="1">
      <c r="A81" s="76"/>
      <c r="B81" s="76"/>
      <c r="C81" s="73"/>
      <c r="W81" s="76"/>
      <c r="X81" s="76"/>
    </row>
    <row r="82" spans="1:24" ht="19.5" customHeight="1">
      <c r="A82" s="76"/>
      <c r="B82" s="76"/>
      <c r="C82" s="73"/>
      <c r="W82" s="76"/>
      <c r="X82" s="76"/>
    </row>
    <row r="83" spans="1:24" ht="19.5" customHeight="1">
      <c r="A83" s="76"/>
      <c r="B83" s="76"/>
      <c r="C83" s="73"/>
      <c r="W83" s="76"/>
      <c r="X83" s="76"/>
    </row>
    <row r="84" spans="1:24" ht="19.5" customHeight="1">
      <c r="A84" s="76"/>
      <c r="B84" s="76"/>
      <c r="C84" s="73"/>
      <c r="W84" s="76"/>
      <c r="X84" s="76"/>
    </row>
    <row r="85" spans="1:24" ht="19.5" customHeight="1">
      <c r="A85" s="76"/>
      <c r="B85" s="76"/>
      <c r="C85" s="73"/>
      <c r="W85" s="76"/>
      <c r="X85" s="76"/>
    </row>
    <row r="86" spans="1:24" ht="19.5" customHeight="1">
      <c r="A86" s="76"/>
      <c r="B86" s="76"/>
      <c r="C86" s="73"/>
      <c r="W86" s="76"/>
      <c r="X86" s="76"/>
    </row>
    <row r="87" spans="1:24" ht="19.5" customHeight="1">
      <c r="A87" s="76"/>
      <c r="B87" s="76"/>
      <c r="C87" s="73"/>
      <c r="W87" s="76"/>
      <c r="X87" s="76"/>
    </row>
    <row r="88" spans="1:24" ht="19.5" customHeight="1">
      <c r="A88" s="76"/>
      <c r="B88" s="76"/>
      <c r="C88" s="73"/>
      <c r="W88" s="76"/>
      <c r="X88" s="76"/>
    </row>
    <row r="89" spans="1:24" ht="19.5" customHeight="1">
      <c r="A89" s="76"/>
      <c r="B89" s="76"/>
      <c r="C89" s="73"/>
      <c r="W89" s="76"/>
      <c r="X89" s="76"/>
    </row>
    <row r="90" spans="1:24" ht="19.5" customHeight="1">
      <c r="A90" s="76"/>
      <c r="B90" s="76"/>
      <c r="C90" s="73"/>
      <c r="W90" s="76"/>
      <c r="X90" s="76"/>
    </row>
    <row r="91" spans="1:24" ht="19.5" customHeight="1">
      <c r="A91" s="76"/>
      <c r="B91" s="76"/>
      <c r="C91" s="73"/>
      <c r="W91" s="76"/>
      <c r="X91" s="76"/>
    </row>
    <row r="92" spans="1:24" ht="19.5" customHeight="1">
      <c r="A92" s="76"/>
      <c r="B92" s="76"/>
      <c r="C92" s="73"/>
      <c r="W92" s="76"/>
      <c r="X92" s="76"/>
    </row>
    <row r="93" spans="1:24" ht="19.5" customHeight="1">
      <c r="A93" s="76"/>
      <c r="B93" s="76"/>
      <c r="C93" s="73"/>
      <c r="W93" s="76"/>
      <c r="X93" s="76"/>
    </row>
    <row r="94" spans="1:24" ht="19.5" customHeight="1">
      <c r="A94" s="76"/>
      <c r="B94" s="76"/>
      <c r="C94" s="73"/>
      <c r="W94" s="76"/>
      <c r="X94" s="76"/>
    </row>
    <row r="95" spans="1:24" ht="19.5" customHeight="1">
      <c r="A95" s="76"/>
      <c r="B95" s="76"/>
      <c r="C95" s="73"/>
      <c r="W95" s="76"/>
      <c r="X95" s="76"/>
    </row>
    <row r="96" spans="1:24" ht="19.5" customHeight="1">
      <c r="A96" s="76"/>
      <c r="B96" s="76"/>
      <c r="C96" s="73"/>
      <c r="W96" s="76"/>
      <c r="X96" s="76"/>
    </row>
    <row r="97" spans="1:24" ht="19.5" customHeight="1">
      <c r="A97" s="76"/>
      <c r="B97" s="76"/>
      <c r="C97" s="73"/>
      <c r="W97" s="76"/>
      <c r="X97" s="76"/>
    </row>
    <row r="98" spans="1:24" ht="19.5" customHeight="1">
      <c r="A98" s="76"/>
      <c r="B98" s="76"/>
      <c r="C98" s="73"/>
      <c r="W98" s="76"/>
      <c r="X98" s="76"/>
    </row>
    <row r="99" spans="1:24" ht="19.5" customHeight="1">
      <c r="A99" s="76"/>
      <c r="B99" s="76"/>
      <c r="C99" s="73"/>
      <c r="W99" s="76"/>
      <c r="X99" s="76"/>
    </row>
    <row r="100" spans="1:24" ht="19.5" customHeight="1">
      <c r="A100" s="76"/>
      <c r="B100" s="76"/>
      <c r="C100" s="73"/>
      <c r="W100" s="76"/>
      <c r="X100" s="76"/>
    </row>
    <row r="101" spans="1:24" ht="19.5" customHeight="1">
      <c r="A101" s="76"/>
      <c r="B101" s="76"/>
      <c r="C101" s="73"/>
      <c r="W101" s="76"/>
      <c r="X101" s="76"/>
    </row>
    <row r="102" spans="1:24" ht="19.5" customHeight="1">
      <c r="A102" s="76"/>
      <c r="B102" s="76"/>
      <c r="C102" s="73"/>
      <c r="W102" s="76"/>
      <c r="X102" s="76"/>
    </row>
    <row r="103" spans="1:24" ht="19.5" customHeight="1">
      <c r="A103" s="76"/>
      <c r="B103" s="76"/>
      <c r="C103" s="73"/>
      <c r="W103" s="76"/>
      <c r="X103" s="76"/>
    </row>
    <row r="104" spans="1:24" ht="19.5" customHeight="1">
      <c r="A104" s="76"/>
      <c r="B104" s="76"/>
      <c r="C104" s="73"/>
      <c r="W104" s="76"/>
      <c r="X104" s="76"/>
    </row>
    <row r="105" spans="1:24" ht="19.5" customHeight="1">
      <c r="A105" s="76"/>
      <c r="B105" s="76"/>
      <c r="C105" s="73"/>
      <c r="W105" s="76"/>
      <c r="X105" s="76"/>
    </row>
    <row r="106" spans="1:24" ht="19.5" customHeight="1">
      <c r="A106" s="76"/>
      <c r="B106" s="76"/>
      <c r="C106" s="73"/>
      <c r="W106" s="76"/>
      <c r="X106" s="76"/>
    </row>
    <row r="107" spans="1:24" ht="19.5" customHeight="1">
      <c r="A107" s="76"/>
      <c r="B107" s="76"/>
      <c r="C107" s="73"/>
      <c r="W107" s="76"/>
      <c r="X107" s="76"/>
    </row>
    <row r="108" spans="1:24" ht="19.5" customHeight="1">
      <c r="A108" s="76"/>
      <c r="B108" s="76"/>
      <c r="C108" s="73"/>
      <c r="W108" s="76"/>
      <c r="X108" s="76"/>
    </row>
    <row r="109" spans="1:24" ht="19.5" customHeight="1">
      <c r="A109" s="76"/>
      <c r="B109" s="76"/>
      <c r="C109" s="73"/>
      <c r="W109" s="76"/>
      <c r="X109" s="76"/>
    </row>
    <row r="110" spans="1:24" ht="19.5" customHeight="1">
      <c r="A110" s="76"/>
      <c r="B110" s="76"/>
      <c r="C110" s="73"/>
      <c r="W110" s="76"/>
      <c r="X110" s="76"/>
    </row>
    <row r="111" spans="1:24" ht="19.5" customHeight="1">
      <c r="A111" s="76"/>
      <c r="B111" s="76"/>
      <c r="C111" s="73"/>
      <c r="W111" s="76"/>
      <c r="X111" s="76"/>
    </row>
    <row r="112" spans="1:24" ht="19.5" customHeight="1">
      <c r="A112" s="76"/>
      <c r="B112" s="76"/>
      <c r="C112" s="73"/>
      <c r="W112" s="76"/>
      <c r="X112" s="76"/>
    </row>
    <row r="113" spans="1:24" ht="19.5" customHeight="1">
      <c r="A113" s="76"/>
      <c r="B113" s="76"/>
      <c r="C113" s="73"/>
      <c r="W113" s="76"/>
      <c r="X113" s="76"/>
    </row>
    <row r="114" spans="1:24" ht="19.5" customHeight="1">
      <c r="A114" s="76"/>
      <c r="B114" s="76"/>
      <c r="C114" s="73"/>
      <c r="W114" s="76"/>
      <c r="X114" s="76"/>
    </row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</sheetData>
  <sheetProtection/>
  <mergeCells count="30">
    <mergeCell ref="P4:Q4"/>
    <mergeCell ref="H1:I1"/>
    <mergeCell ref="P1:Q1"/>
    <mergeCell ref="AK1:AL1"/>
    <mergeCell ref="U1:V1"/>
    <mergeCell ref="AL5:AL8"/>
    <mergeCell ref="AG6:AI6"/>
    <mergeCell ref="AJ5:AJ8"/>
    <mergeCell ref="AK4:AL4"/>
    <mergeCell ref="AK5:AK8"/>
    <mergeCell ref="D7:H7"/>
    <mergeCell ref="I7:L7"/>
    <mergeCell ref="A8:B9"/>
    <mergeCell ref="A5:B7"/>
    <mergeCell ref="C5:C8"/>
    <mergeCell ref="D6:H6"/>
    <mergeCell ref="I6:L6"/>
    <mergeCell ref="M7:Q7"/>
    <mergeCell ref="R7:V7"/>
    <mergeCell ref="W5:X7"/>
    <mergeCell ref="W8:X9"/>
    <mergeCell ref="M6:Q6"/>
    <mergeCell ref="R6:V6"/>
    <mergeCell ref="AF6:AF8"/>
    <mergeCell ref="AG7:AI7"/>
    <mergeCell ref="Y6:AA6"/>
    <mergeCell ref="AC6:AE6"/>
    <mergeCell ref="AC7:AE7"/>
    <mergeCell ref="AB6:AB8"/>
    <mergeCell ref="Y7:AA7"/>
  </mergeCells>
  <printOptions/>
  <pageMargins left="0.7480314960629921" right="0.7480314960629921" top="0.41" bottom="0.48" header="0.29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61" sqref="C61"/>
    </sheetView>
  </sheetViews>
  <sheetFormatPr defaultColWidth="9.00390625" defaultRowHeight="16.5"/>
  <cols>
    <col min="1" max="1" width="10.00390625" style="65" customWidth="1"/>
    <col min="2" max="2" width="10.50390625" style="65" customWidth="1"/>
    <col min="3" max="4" width="11.125" style="27" customWidth="1"/>
    <col min="5" max="5" width="11.00390625" style="27" customWidth="1"/>
    <col min="6" max="6" width="10.75390625" style="27" customWidth="1"/>
    <col min="7" max="7" width="11.375" style="27" customWidth="1"/>
    <col min="8" max="8" width="9.50390625" style="27" customWidth="1"/>
    <col min="9" max="9" width="12.75390625" style="27" customWidth="1"/>
    <col min="10" max="10" width="12.50390625" style="27" customWidth="1"/>
    <col min="11" max="11" width="13.625" style="27" customWidth="1"/>
    <col min="12" max="12" width="12.50390625" style="27" customWidth="1"/>
    <col min="13" max="13" width="10.75390625" style="27" customWidth="1"/>
    <col min="14" max="14" width="10.50390625" style="27" customWidth="1"/>
    <col min="15" max="15" width="13.50390625" style="27" customWidth="1"/>
    <col min="16" max="16384" width="9.00390625" style="27" customWidth="1"/>
  </cols>
  <sheetData>
    <row r="1" spans="1:15" ht="15.75">
      <c r="A1" s="3" t="s">
        <v>447</v>
      </c>
      <c r="B1" s="78"/>
      <c r="C1" s="39"/>
      <c r="D1" s="39"/>
      <c r="E1" s="39"/>
      <c r="F1" s="39"/>
      <c r="G1" s="39"/>
      <c r="H1" s="79"/>
      <c r="I1" s="39"/>
      <c r="J1" s="39"/>
      <c r="K1" s="39"/>
      <c r="L1" s="39"/>
      <c r="M1" s="80"/>
      <c r="N1" s="290" t="s">
        <v>448</v>
      </c>
      <c r="O1" s="290"/>
    </row>
    <row r="2" spans="1:15" ht="26.25" customHeight="1">
      <c r="A2" s="81" t="s">
        <v>475</v>
      </c>
      <c r="B2" s="82"/>
      <c r="C2" s="83"/>
      <c r="D2" s="83"/>
      <c r="E2" s="83"/>
      <c r="F2" s="83"/>
      <c r="G2" s="83"/>
      <c r="H2" s="84"/>
      <c r="I2" s="186" t="s">
        <v>476</v>
      </c>
      <c r="J2" s="83"/>
      <c r="K2" s="83"/>
      <c r="L2" s="83"/>
      <c r="M2" s="83"/>
      <c r="N2" s="83"/>
      <c r="O2" s="85"/>
    </row>
    <row r="3" spans="1:35" ht="15" customHeight="1">
      <c r="A3" s="86" t="s">
        <v>215</v>
      </c>
      <c r="B3" s="82"/>
      <c r="C3" s="83"/>
      <c r="D3" s="83"/>
      <c r="E3" s="83"/>
      <c r="F3" s="83"/>
      <c r="G3" s="83"/>
      <c r="H3" s="84"/>
      <c r="I3" s="86" t="s">
        <v>216</v>
      </c>
      <c r="J3" s="83"/>
      <c r="K3" s="83"/>
      <c r="L3" s="83"/>
      <c r="M3" s="83"/>
      <c r="N3" s="83"/>
      <c r="O3" s="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</row>
    <row r="4" spans="1:15" ht="14.25" customHeight="1" thickBot="1">
      <c r="A4" s="122" t="s">
        <v>204</v>
      </c>
      <c r="B4" s="122"/>
      <c r="C4" s="87"/>
      <c r="D4" s="87"/>
      <c r="E4" s="87"/>
      <c r="F4" s="87"/>
      <c r="G4" s="87"/>
      <c r="H4" s="87"/>
      <c r="I4" s="87"/>
      <c r="J4" s="87"/>
      <c r="K4" s="87"/>
      <c r="L4" s="87"/>
      <c r="M4" s="173"/>
      <c r="N4" s="173"/>
      <c r="O4" s="184" t="s">
        <v>115</v>
      </c>
    </row>
    <row r="5" spans="1:15" ht="27" customHeight="1">
      <c r="A5" s="176" t="s">
        <v>194</v>
      </c>
      <c r="B5" s="177"/>
      <c r="C5" s="180" t="s">
        <v>195</v>
      </c>
      <c r="D5" s="180" t="s">
        <v>196</v>
      </c>
      <c r="E5" s="180" t="s">
        <v>197</v>
      </c>
      <c r="F5" s="180" t="s">
        <v>198</v>
      </c>
      <c r="G5" s="180" t="s">
        <v>199</v>
      </c>
      <c r="H5" s="180" t="s">
        <v>86</v>
      </c>
      <c r="I5" s="179" t="s">
        <v>201</v>
      </c>
      <c r="J5" s="180" t="s">
        <v>390</v>
      </c>
      <c r="K5" s="179" t="s">
        <v>217</v>
      </c>
      <c r="L5" s="179" t="s">
        <v>391</v>
      </c>
      <c r="M5" s="179" t="s">
        <v>32</v>
      </c>
      <c r="N5" s="179" t="s">
        <v>30</v>
      </c>
      <c r="O5" s="178" t="s">
        <v>31</v>
      </c>
    </row>
    <row r="6" spans="1:15" ht="30" customHeight="1" thickBot="1">
      <c r="A6" s="181" t="s">
        <v>205</v>
      </c>
      <c r="B6" s="123"/>
      <c r="C6" s="182" t="s">
        <v>206</v>
      </c>
      <c r="D6" s="183" t="s">
        <v>207</v>
      </c>
      <c r="E6" s="183" t="s">
        <v>208</v>
      </c>
      <c r="F6" s="183" t="s">
        <v>209</v>
      </c>
      <c r="G6" s="183" t="s">
        <v>210</v>
      </c>
      <c r="H6" s="128"/>
      <c r="I6" s="183" t="s">
        <v>211</v>
      </c>
      <c r="J6" s="183" t="s">
        <v>212</v>
      </c>
      <c r="K6" s="183" t="s">
        <v>213</v>
      </c>
      <c r="L6" s="183" t="s">
        <v>214</v>
      </c>
      <c r="M6" s="182" t="s">
        <v>186</v>
      </c>
      <c r="N6" s="174"/>
      <c r="O6" s="175"/>
    </row>
    <row r="7" spans="1:15" ht="15" customHeight="1" hidden="1">
      <c r="A7" s="88" t="s">
        <v>323</v>
      </c>
      <c r="B7" s="59" t="s">
        <v>27</v>
      </c>
      <c r="C7" s="25">
        <f>SUM(D7:M7)</f>
        <v>209294</v>
      </c>
      <c r="D7" s="26">
        <v>3808</v>
      </c>
      <c r="E7" s="1">
        <v>0</v>
      </c>
      <c r="F7" s="1">
        <v>0</v>
      </c>
      <c r="G7" s="26">
        <v>300</v>
      </c>
      <c r="H7" s="1">
        <v>0</v>
      </c>
      <c r="I7" s="26">
        <v>1697</v>
      </c>
      <c r="J7" s="1">
        <v>0</v>
      </c>
      <c r="K7" s="26">
        <v>203103</v>
      </c>
      <c r="L7" s="1">
        <v>0</v>
      </c>
      <c r="M7" s="26">
        <v>386</v>
      </c>
      <c r="N7" s="1">
        <v>0</v>
      </c>
      <c r="O7" s="1">
        <v>0</v>
      </c>
    </row>
    <row r="8" spans="1:15" ht="15" customHeight="1" hidden="1">
      <c r="A8" s="88"/>
      <c r="B8" s="158" t="s">
        <v>218</v>
      </c>
      <c r="C8" s="25"/>
      <c r="D8" s="26"/>
      <c r="E8" s="1"/>
      <c r="F8" s="1"/>
      <c r="G8" s="26"/>
      <c r="H8" s="1"/>
      <c r="I8" s="26"/>
      <c r="J8" s="1"/>
      <c r="K8" s="26"/>
      <c r="L8" s="1"/>
      <c r="M8" s="26"/>
      <c r="N8" s="1"/>
      <c r="O8" s="1"/>
    </row>
    <row r="9" spans="1:15" ht="15" customHeight="1" hidden="1">
      <c r="A9" s="138" t="s">
        <v>96</v>
      </c>
      <c r="B9" s="89" t="s">
        <v>4</v>
      </c>
      <c r="C9" s="25">
        <f>SUM(D9:M9)</f>
        <v>138261</v>
      </c>
      <c r="D9" s="26">
        <v>3808</v>
      </c>
      <c r="E9" s="1">
        <v>0</v>
      </c>
      <c r="F9" s="1">
        <v>0</v>
      </c>
      <c r="G9" s="26">
        <v>300</v>
      </c>
      <c r="H9" s="1">
        <v>0</v>
      </c>
      <c r="I9" s="26">
        <v>1697</v>
      </c>
      <c r="J9" s="1">
        <v>0</v>
      </c>
      <c r="K9" s="26">
        <v>132070</v>
      </c>
      <c r="L9" s="1">
        <v>0</v>
      </c>
      <c r="M9" s="26">
        <v>386</v>
      </c>
      <c r="N9" s="1">
        <v>0</v>
      </c>
      <c r="O9" s="1">
        <v>0</v>
      </c>
    </row>
    <row r="10" spans="1:15" ht="15" customHeight="1" hidden="1">
      <c r="A10" s="76"/>
      <c r="B10" s="188" t="s">
        <v>219</v>
      </c>
      <c r="C10" s="25"/>
      <c r="D10" s="26"/>
      <c r="E10" s="1"/>
      <c r="F10" s="1"/>
      <c r="G10" s="26"/>
      <c r="H10" s="1"/>
      <c r="I10" s="26"/>
      <c r="J10" s="1"/>
      <c r="K10" s="26"/>
      <c r="L10" s="1"/>
      <c r="M10" s="26"/>
      <c r="N10" s="1"/>
      <c r="O10" s="1"/>
    </row>
    <row r="11" spans="1:15" ht="15" customHeight="1" hidden="1">
      <c r="A11" s="88" t="s">
        <v>324</v>
      </c>
      <c r="B11" s="59" t="s">
        <v>27</v>
      </c>
      <c r="C11" s="25">
        <f>SUM(D11:O11)</f>
        <v>136485</v>
      </c>
      <c r="D11" s="26">
        <v>4310</v>
      </c>
      <c r="E11" s="1">
        <v>0</v>
      </c>
      <c r="F11" s="26">
        <v>210</v>
      </c>
      <c r="G11" s="26">
        <v>332</v>
      </c>
      <c r="H11" s="1">
        <v>0</v>
      </c>
      <c r="I11" s="26">
        <v>3298</v>
      </c>
      <c r="J11" s="1">
        <v>0</v>
      </c>
      <c r="K11" s="26">
        <v>123433</v>
      </c>
      <c r="L11" s="1">
        <v>0</v>
      </c>
      <c r="M11" s="26">
        <v>735</v>
      </c>
      <c r="N11" s="1">
        <v>0</v>
      </c>
      <c r="O11" s="26">
        <v>4167</v>
      </c>
    </row>
    <row r="12" spans="1:15" ht="15" customHeight="1" hidden="1">
      <c r="A12" s="88"/>
      <c r="B12" s="158" t="s">
        <v>218</v>
      </c>
      <c r="C12" s="25"/>
      <c r="D12" s="26"/>
      <c r="E12" s="1"/>
      <c r="F12" s="26"/>
      <c r="G12" s="26"/>
      <c r="H12" s="1"/>
      <c r="I12" s="26"/>
      <c r="J12" s="1"/>
      <c r="K12" s="26"/>
      <c r="L12" s="1"/>
      <c r="M12" s="26"/>
      <c r="N12" s="1"/>
      <c r="O12" s="26"/>
    </row>
    <row r="13" spans="1:15" ht="15" customHeight="1" hidden="1">
      <c r="A13" s="209" t="s">
        <v>97</v>
      </c>
      <c r="B13" s="89" t="s">
        <v>4</v>
      </c>
      <c r="C13" s="25">
        <f>SUM(D13:M13)</f>
        <v>168792</v>
      </c>
      <c r="D13" s="26">
        <v>4310</v>
      </c>
      <c r="E13" s="1">
        <v>0</v>
      </c>
      <c r="F13" s="26">
        <v>210</v>
      </c>
      <c r="G13" s="26">
        <v>332</v>
      </c>
      <c r="H13" s="1">
        <v>0</v>
      </c>
      <c r="I13" s="26">
        <v>3298</v>
      </c>
      <c r="J13" s="1">
        <v>0</v>
      </c>
      <c r="K13" s="26">
        <v>159907</v>
      </c>
      <c r="L13" s="1">
        <v>0</v>
      </c>
      <c r="M13" s="26">
        <v>735</v>
      </c>
      <c r="N13" s="1">
        <v>0</v>
      </c>
      <c r="O13" s="1">
        <v>0</v>
      </c>
    </row>
    <row r="14" spans="1:15" ht="15" customHeight="1" hidden="1">
      <c r="A14" s="88"/>
      <c r="B14" s="188" t="s">
        <v>219</v>
      </c>
      <c r="C14" s="25"/>
      <c r="D14" s="26"/>
      <c r="E14" s="1"/>
      <c r="F14" s="26"/>
      <c r="G14" s="26"/>
      <c r="H14" s="1"/>
      <c r="I14" s="26"/>
      <c r="J14" s="1"/>
      <c r="K14" s="26"/>
      <c r="L14" s="1"/>
      <c r="M14" s="26"/>
      <c r="N14" s="1"/>
      <c r="O14" s="1"/>
    </row>
    <row r="15" spans="1:15" ht="15" customHeight="1" hidden="1">
      <c r="A15" s="88" t="s">
        <v>320</v>
      </c>
      <c r="B15" s="59" t="s">
        <v>27</v>
      </c>
      <c r="C15" s="25">
        <f>SUM(D15:O15)</f>
        <v>130656</v>
      </c>
      <c r="D15" s="26">
        <v>4657</v>
      </c>
      <c r="E15" s="1">
        <v>0</v>
      </c>
      <c r="F15" s="26">
        <v>60</v>
      </c>
      <c r="G15" s="26">
        <v>400</v>
      </c>
      <c r="H15" s="1">
        <v>0</v>
      </c>
      <c r="I15" s="26">
        <v>1239</v>
      </c>
      <c r="J15" s="1">
        <v>0</v>
      </c>
      <c r="K15" s="26">
        <v>111722</v>
      </c>
      <c r="L15" s="1">
        <v>0</v>
      </c>
      <c r="M15" s="26">
        <v>623</v>
      </c>
      <c r="N15" s="26">
        <v>8000</v>
      </c>
      <c r="O15" s="26">
        <v>3955</v>
      </c>
    </row>
    <row r="16" spans="1:15" ht="15" customHeight="1" hidden="1">
      <c r="A16" s="88"/>
      <c r="B16" s="158" t="s">
        <v>218</v>
      </c>
      <c r="C16" s="25"/>
      <c r="D16" s="26"/>
      <c r="E16" s="1"/>
      <c r="F16" s="26"/>
      <c r="G16" s="26"/>
      <c r="H16" s="1"/>
      <c r="I16" s="26"/>
      <c r="J16" s="1"/>
      <c r="K16" s="26"/>
      <c r="L16" s="1"/>
      <c r="M16" s="26"/>
      <c r="N16" s="26"/>
      <c r="O16" s="26"/>
    </row>
    <row r="17" spans="1:15" ht="15" customHeight="1" hidden="1">
      <c r="A17" s="209" t="s">
        <v>325</v>
      </c>
      <c r="B17" s="89" t="s">
        <v>4</v>
      </c>
      <c r="C17" s="25">
        <f>SUM(D17:O17)</f>
        <v>148995</v>
      </c>
      <c r="D17" s="26">
        <v>4657</v>
      </c>
      <c r="E17" s="1">
        <v>0</v>
      </c>
      <c r="F17" s="26">
        <v>60</v>
      </c>
      <c r="G17" s="26">
        <v>400</v>
      </c>
      <c r="H17" s="1">
        <v>0</v>
      </c>
      <c r="I17" s="26">
        <v>1238</v>
      </c>
      <c r="J17" s="1">
        <v>0</v>
      </c>
      <c r="K17" s="26">
        <v>131231</v>
      </c>
      <c r="L17" s="1">
        <v>0</v>
      </c>
      <c r="M17" s="26">
        <v>623</v>
      </c>
      <c r="N17" s="26">
        <v>5500</v>
      </c>
      <c r="O17" s="26">
        <v>5286</v>
      </c>
    </row>
    <row r="18" spans="1:15" ht="15" customHeight="1" hidden="1">
      <c r="A18" s="88"/>
      <c r="B18" s="188" t="s">
        <v>219</v>
      </c>
      <c r="C18" s="25"/>
      <c r="D18" s="26"/>
      <c r="E18" s="1"/>
      <c r="F18" s="26"/>
      <c r="G18" s="26"/>
      <c r="H18" s="1"/>
      <c r="I18" s="26"/>
      <c r="J18" s="1"/>
      <c r="K18" s="26"/>
      <c r="L18" s="1"/>
      <c r="M18" s="26"/>
      <c r="N18" s="26"/>
      <c r="O18" s="26"/>
    </row>
    <row r="19" spans="1:15" ht="15" customHeight="1" hidden="1">
      <c r="A19" s="88" t="s">
        <v>321</v>
      </c>
      <c r="B19" s="59" t="s">
        <v>27</v>
      </c>
      <c r="C19" s="25">
        <f aca="true" t="shared" si="0" ref="C19:C37">SUM(D19:O19)</f>
        <v>131537</v>
      </c>
      <c r="D19" s="26">
        <v>5119</v>
      </c>
      <c r="E19" s="1">
        <v>0</v>
      </c>
      <c r="F19" s="26">
        <v>60</v>
      </c>
      <c r="G19" s="26">
        <v>650</v>
      </c>
      <c r="H19" s="1">
        <v>0</v>
      </c>
      <c r="I19" s="26">
        <v>1253</v>
      </c>
      <c r="J19" s="1">
        <v>0</v>
      </c>
      <c r="K19" s="26">
        <v>122856</v>
      </c>
      <c r="L19" s="1">
        <v>0</v>
      </c>
      <c r="M19" s="26">
        <v>600</v>
      </c>
      <c r="N19" s="1">
        <v>0</v>
      </c>
      <c r="O19" s="26">
        <v>999</v>
      </c>
    </row>
    <row r="20" spans="1:15" ht="15" customHeight="1" hidden="1">
      <c r="A20" s="88"/>
      <c r="B20" s="158" t="s">
        <v>218</v>
      </c>
      <c r="C20" s="25"/>
      <c r="D20" s="26"/>
      <c r="E20" s="1"/>
      <c r="F20" s="26"/>
      <c r="G20" s="26"/>
      <c r="H20" s="1"/>
      <c r="I20" s="26"/>
      <c r="J20" s="1"/>
      <c r="K20" s="26"/>
      <c r="L20" s="1"/>
      <c r="M20" s="26"/>
      <c r="N20" s="1"/>
      <c r="O20" s="26"/>
    </row>
    <row r="21" spans="1:15" ht="15" customHeight="1" hidden="1">
      <c r="A21" s="138" t="s">
        <v>326</v>
      </c>
      <c r="B21" s="89" t="s">
        <v>4</v>
      </c>
      <c r="C21" s="25">
        <f t="shared" si="0"/>
        <v>184336</v>
      </c>
      <c r="D21" s="26">
        <v>5119</v>
      </c>
      <c r="E21" s="1">
        <v>0</v>
      </c>
      <c r="F21" s="26">
        <v>60</v>
      </c>
      <c r="G21" s="26">
        <v>650</v>
      </c>
      <c r="H21" s="1">
        <v>0</v>
      </c>
      <c r="I21" s="26">
        <v>1253</v>
      </c>
      <c r="J21" s="1">
        <v>0</v>
      </c>
      <c r="K21" s="26">
        <v>172318</v>
      </c>
      <c r="L21" s="1">
        <v>0</v>
      </c>
      <c r="M21" s="26">
        <v>600</v>
      </c>
      <c r="N21" s="1">
        <v>0</v>
      </c>
      <c r="O21" s="26">
        <v>4336</v>
      </c>
    </row>
    <row r="22" spans="1:15" ht="15" customHeight="1" hidden="1">
      <c r="A22" s="76"/>
      <c r="B22" s="188" t="s">
        <v>219</v>
      </c>
      <c r="C22" s="25"/>
      <c r="D22" s="26"/>
      <c r="E22" s="1"/>
      <c r="F22" s="26"/>
      <c r="G22" s="26"/>
      <c r="H22" s="1"/>
      <c r="I22" s="26"/>
      <c r="J22" s="1"/>
      <c r="K22" s="26"/>
      <c r="L22" s="1"/>
      <c r="M22" s="26"/>
      <c r="N22" s="1"/>
      <c r="O22" s="26"/>
    </row>
    <row r="23" spans="1:15" ht="15" customHeight="1">
      <c r="A23" s="187" t="s">
        <v>327</v>
      </c>
      <c r="B23" s="59" t="s">
        <v>27</v>
      </c>
      <c r="C23" s="25">
        <f t="shared" si="0"/>
        <v>148311</v>
      </c>
      <c r="D23" s="26">
        <v>85863</v>
      </c>
      <c r="E23" s="1">
        <v>0</v>
      </c>
      <c r="F23" s="26">
        <v>100</v>
      </c>
      <c r="G23" s="26">
        <v>1000</v>
      </c>
      <c r="H23" s="1">
        <v>0</v>
      </c>
      <c r="I23" s="26">
        <v>1219</v>
      </c>
      <c r="J23" s="1">
        <v>0</v>
      </c>
      <c r="K23" s="26">
        <v>59094</v>
      </c>
      <c r="L23" s="1">
        <v>0</v>
      </c>
      <c r="M23" s="26">
        <v>1035</v>
      </c>
      <c r="N23" s="1">
        <v>0</v>
      </c>
      <c r="O23" s="1">
        <v>0</v>
      </c>
    </row>
    <row r="24" spans="1:15" ht="15" customHeight="1">
      <c r="A24" s="187" t="s">
        <v>328</v>
      </c>
      <c r="B24" s="158" t="s">
        <v>218</v>
      </c>
      <c r="C24" s="25"/>
      <c r="D24" s="26"/>
      <c r="E24" s="1"/>
      <c r="F24" s="26"/>
      <c r="G24" s="26"/>
      <c r="H24" s="1"/>
      <c r="I24" s="26"/>
      <c r="J24" s="1"/>
      <c r="K24" s="26"/>
      <c r="L24" s="1"/>
      <c r="M24" s="26"/>
      <c r="N24" s="1"/>
      <c r="O24" s="1"/>
    </row>
    <row r="25" spans="1:15" ht="15" customHeight="1">
      <c r="A25" s="210" t="s">
        <v>329</v>
      </c>
      <c r="B25" s="89" t="s">
        <v>26</v>
      </c>
      <c r="C25" s="25">
        <f t="shared" si="0"/>
        <v>170826</v>
      </c>
      <c r="D25" s="26">
        <v>77663</v>
      </c>
      <c r="E25" s="1">
        <v>0</v>
      </c>
      <c r="F25" s="26">
        <v>700</v>
      </c>
      <c r="G25" s="26">
        <v>1000</v>
      </c>
      <c r="H25" s="1">
        <v>0</v>
      </c>
      <c r="I25" s="26">
        <v>1618</v>
      </c>
      <c r="J25" s="1">
        <v>0</v>
      </c>
      <c r="K25" s="26">
        <v>87865</v>
      </c>
      <c r="L25" s="1">
        <v>0</v>
      </c>
      <c r="M25" s="26">
        <v>1980</v>
      </c>
      <c r="N25" s="1">
        <v>0</v>
      </c>
      <c r="O25" s="1">
        <v>0</v>
      </c>
    </row>
    <row r="26" spans="1:15" ht="15" customHeight="1">
      <c r="A26" s="91"/>
      <c r="B26" s="188" t="s">
        <v>219</v>
      </c>
      <c r="C26" s="25"/>
      <c r="D26" s="26"/>
      <c r="E26" s="1"/>
      <c r="F26" s="26"/>
      <c r="G26" s="26"/>
      <c r="H26" s="1"/>
      <c r="I26" s="26"/>
      <c r="J26" s="1"/>
      <c r="K26" s="26"/>
      <c r="L26" s="1"/>
      <c r="M26" s="26"/>
      <c r="N26" s="1"/>
      <c r="O26" s="1"/>
    </row>
    <row r="27" spans="1:15" ht="15" customHeight="1">
      <c r="A27" s="88" t="s">
        <v>322</v>
      </c>
      <c r="B27" s="59" t="s">
        <v>27</v>
      </c>
      <c r="C27" s="25">
        <f t="shared" si="0"/>
        <v>73223</v>
      </c>
      <c r="D27" s="26">
        <v>53260</v>
      </c>
      <c r="E27" s="1">
        <v>0</v>
      </c>
      <c r="F27" s="26">
        <v>1400</v>
      </c>
      <c r="G27" s="26">
        <v>800</v>
      </c>
      <c r="H27" s="1">
        <v>0</v>
      </c>
      <c r="I27" s="26">
        <v>2443</v>
      </c>
      <c r="J27" s="1">
        <v>0</v>
      </c>
      <c r="K27" s="26">
        <v>12820</v>
      </c>
      <c r="L27" s="1">
        <v>0</v>
      </c>
      <c r="M27" s="26">
        <v>2500</v>
      </c>
      <c r="N27" s="1">
        <v>0</v>
      </c>
      <c r="O27" s="1">
        <v>0</v>
      </c>
    </row>
    <row r="28" spans="1:15" ht="15" customHeight="1">
      <c r="A28" s="88"/>
      <c r="B28" s="158" t="s">
        <v>218</v>
      </c>
      <c r="C28" s="25"/>
      <c r="D28" s="26"/>
      <c r="E28" s="1"/>
      <c r="F28" s="26"/>
      <c r="G28" s="26"/>
      <c r="H28" s="1"/>
      <c r="I28" s="26"/>
      <c r="J28" s="1"/>
      <c r="K28" s="26"/>
      <c r="L28" s="1"/>
      <c r="M28" s="26"/>
      <c r="N28" s="1"/>
      <c r="O28" s="1"/>
    </row>
    <row r="29" spans="1:15" ht="15" customHeight="1">
      <c r="A29" s="211" t="s">
        <v>330</v>
      </c>
      <c r="B29" s="89" t="s">
        <v>26</v>
      </c>
      <c r="C29" s="25">
        <f t="shared" si="0"/>
        <v>81307</v>
      </c>
      <c r="D29" s="26">
        <v>49714</v>
      </c>
      <c r="E29" s="1">
        <v>0</v>
      </c>
      <c r="F29" s="26">
        <v>1400</v>
      </c>
      <c r="G29" s="26">
        <v>800</v>
      </c>
      <c r="H29" s="1">
        <v>0</v>
      </c>
      <c r="I29" s="26">
        <v>2443</v>
      </c>
      <c r="J29" s="1">
        <v>0</v>
      </c>
      <c r="K29" s="26">
        <v>24450</v>
      </c>
      <c r="L29" s="1">
        <v>0</v>
      </c>
      <c r="M29" s="26">
        <v>2500</v>
      </c>
      <c r="N29" s="1">
        <v>0</v>
      </c>
      <c r="O29" s="1">
        <v>0</v>
      </c>
    </row>
    <row r="30" spans="1:15" ht="15" customHeight="1">
      <c r="A30" s="92"/>
      <c r="B30" s="188" t="s">
        <v>219</v>
      </c>
      <c r="C30" s="25"/>
      <c r="D30" s="26"/>
      <c r="E30" s="1"/>
      <c r="F30" s="26"/>
      <c r="G30" s="26"/>
      <c r="H30" s="1"/>
      <c r="I30" s="26"/>
      <c r="J30" s="1"/>
      <c r="K30" s="26"/>
      <c r="L30" s="1"/>
      <c r="M30" s="26"/>
      <c r="N30" s="1"/>
      <c r="O30" s="1"/>
    </row>
    <row r="31" spans="1:15" ht="15" customHeight="1">
      <c r="A31" s="88" t="s">
        <v>331</v>
      </c>
      <c r="B31" s="59" t="s">
        <v>27</v>
      </c>
      <c r="C31" s="25">
        <f t="shared" si="0"/>
        <v>75309</v>
      </c>
      <c r="D31" s="25">
        <v>65538</v>
      </c>
      <c r="E31" s="1">
        <v>0</v>
      </c>
      <c r="F31" s="25">
        <v>100</v>
      </c>
      <c r="G31" s="25">
        <v>300</v>
      </c>
      <c r="H31" s="1">
        <v>0</v>
      </c>
      <c r="I31" s="25">
        <v>1092</v>
      </c>
      <c r="J31" s="1">
        <v>0</v>
      </c>
      <c r="K31" s="25">
        <v>7329</v>
      </c>
      <c r="L31" s="1">
        <v>0</v>
      </c>
      <c r="M31" s="25">
        <v>950</v>
      </c>
      <c r="N31" s="1">
        <v>0</v>
      </c>
      <c r="O31" s="1">
        <v>0</v>
      </c>
    </row>
    <row r="32" spans="1:15" ht="15" customHeight="1">
      <c r="A32" s="88"/>
      <c r="B32" s="158" t="s">
        <v>218</v>
      </c>
      <c r="C32" s="25"/>
      <c r="D32" s="25"/>
      <c r="E32" s="1"/>
      <c r="F32" s="25"/>
      <c r="G32" s="25"/>
      <c r="H32" s="1"/>
      <c r="I32" s="25"/>
      <c r="J32" s="1"/>
      <c r="K32" s="25"/>
      <c r="L32" s="1"/>
      <c r="M32" s="25"/>
      <c r="N32" s="1"/>
      <c r="O32" s="1"/>
    </row>
    <row r="33" spans="1:15" ht="15" customHeight="1">
      <c r="A33" s="209" t="s">
        <v>332</v>
      </c>
      <c r="B33" s="59" t="s">
        <v>26</v>
      </c>
      <c r="C33" s="25">
        <f t="shared" si="0"/>
        <v>129591</v>
      </c>
      <c r="D33" s="25">
        <v>65538</v>
      </c>
      <c r="E33" s="1">
        <v>0</v>
      </c>
      <c r="F33" s="25">
        <v>100</v>
      </c>
      <c r="G33" s="25">
        <v>300</v>
      </c>
      <c r="H33" s="1">
        <v>0</v>
      </c>
      <c r="I33" s="25">
        <v>1092</v>
      </c>
      <c r="J33" s="1">
        <v>0</v>
      </c>
      <c r="K33" s="25">
        <v>61611</v>
      </c>
      <c r="L33" s="1">
        <v>0</v>
      </c>
      <c r="M33" s="25">
        <v>950</v>
      </c>
      <c r="N33" s="1">
        <v>0</v>
      </c>
      <c r="O33" s="1">
        <v>0</v>
      </c>
    </row>
    <row r="34" spans="1:15" ht="18" customHeight="1">
      <c r="A34" s="88"/>
      <c r="B34" s="188" t="s">
        <v>219</v>
      </c>
      <c r="C34" s="25"/>
      <c r="D34" s="25"/>
      <c r="E34" s="1"/>
      <c r="F34" s="25"/>
      <c r="G34" s="25"/>
      <c r="H34" s="1"/>
      <c r="I34" s="25"/>
      <c r="J34" s="1"/>
      <c r="K34" s="25"/>
      <c r="L34" s="1"/>
      <c r="M34" s="25"/>
      <c r="N34" s="1"/>
      <c r="O34" s="1"/>
    </row>
    <row r="35" spans="1:15" ht="15" customHeight="1">
      <c r="A35" s="88" t="s">
        <v>333</v>
      </c>
      <c r="B35" s="59" t="s">
        <v>53</v>
      </c>
      <c r="C35" s="25">
        <f t="shared" si="0"/>
        <v>81971</v>
      </c>
      <c r="D35" s="25">
        <v>71803</v>
      </c>
      <c r="E35" s="1">
        <v>0</v>
      </c>
      <c r="F35" s="25">
        <v>100</v>
      </c>
      <c r="G35" s="25">
        <v>300</v>
      </c>
      <c r="H35" s="1">
        <v>0</v>
      </c>
      <c r="I35" s="25">
        <v>1092</v>
      </c>
      <c r="J35" s="1">
        <v>0</v>
      </c>
      <c r="K35" s="25">
        <v>8043</v>
      </c>
      <c r="L35" s="1">
        <v>0</v>
      </c>
      <c r="M35" s="25">
        <v>633</v>
      </c>
      <c r="N35" s="1">
        <v>0</v>
      </c>
      <c r="O35" s="1">
        <v>0</v>
      </c>
    </row>
    <row r="36" spans="1:15" ht="15" customHeight="1">
      <c r="A36" s="88"/>
      <c r="B36" s="158" t="s">
        <v>218</v>
      </c>
      <c r="C36" s="25"/>
      <c r="D36" s="25"/>
      <c r="E36" s="1"/>
      <c r="F36" s="25"/>
      <c r="G36" s="25"/>
      <c r="H36" s="1"/>
      <c r="I36" s="25"/>
      <c r="J36" s="1"/>
      <c r="K36" s="25"/>
      <c r="L36" s="1"/>
      <c r="M36" s="25"/>
      <c r="N36" s="1"/>
      <c r="O36" s="1"/>
    </row>
    <row r="37" spans="1:15" ht="15" customHeight="1">
      <c r="A37" s="209" t="s">
        <v>334</v>
      </c>
      <c r="B37" s="59" t="s">
        <v>54</v>
      </c>
      <c r="C37" s="25">
        <f t="shared" si="0"/>
        <v>184310</v>
      </c>
      <c r="D37" s="25">
        <v>71803</v>
      </c>
      <c r="E37" s="1">
        <v>0</v>
      </c>
      <c r="F37" s="25">
        <v>100</v>
      </c>
      <c r="G37" s="25">
        <v>300</v>
      </c>
      <c r="H37" s="1">
        <v>0</v>
      </c>
      <c r="I37" s="25">
        <v>1092</v>
      </c>
      <c r="J37" s="1">
        <v>0</v>
      </c>
      <c r="K37" s="25">
        <v>110382</v>
      </c>
      <c r="L37" s="1">
        <v>0</v>
      </c>
      <c r="M37" s="25">
        <v>633</v>
      </c>
      <c r="N37" s="1">
        <v>0</v>
      </c>
      <c r="O37" s="1">
        <v>0</v>
      </c>
    </row>
    <row r="38" spans="1:15" ht="17.25" customHeight="1">
      <c r="A38" s="88"/>
      <c r="B38" s="188" t="s">
        <v>219</v>
      </c>
      <c r="C38" s="25"/>
      <c r="D38" s="25"/>
      <c r="E38" s="1"/>
      <c r="F38" s="25"/>
      <c r="G38" s="25"/>
      <c r="H38" s="1"/>
      <c r="I38" s="25"/>
      <c r="J38" s="1"/>
      <c r="K38" s="25"/>
      <c r="L38" s="1"/>
      <c r="M38" s="25"/>
      <c r="N38" s="1"/>
      <c r="O38" s="1"/>
    </row>
    <row r="39" spans="1:15" ht="15" customHeight="1">
      <c r="A39" s="88" t="s">
        <v>335</v>
      </c>
      <c r="B39" s="59" t="s">
        <v>53</v>
      </c>
      <c r="C39" s="25">
        <f>SUM(D39:O39)</f>
        <v>117706</v>
      </c>
      <c r="D39" s="25">
        <v>75356</v>
      </c>
      <c r="E39" s="1">
        <v>0</v>
      </c>
      <c r="F39" s="25">
        <v>100</v>
      </c>
      <c r="G39" s="25">
        <v>300</v>
      </c>
      <c r="H39" s="1">
        <v>0</v>
      </c>
      <c r="I39" s="25">
        <v>979</v>
      </c>
      <c r="J39" s="1">
        <v>0</v>
      </c>
      <c r="K39" s="25">
        <v>40338</v>
      </c>
      <c r="L39" s="1">
        <v>0</v>
      </c>
      <c r="M39" s="25">
        <v>633</v>
      </c>
      <c r="N39" s="1">
        <v>0</v>
      </c>
      <c r="O39" s="1">
        <v>0</v>
      </c>
    </row>
    <row r="40" spans="1:15" ht="15" customHeight="1">
      <c r="A40" s="88"/>
      <c r="B40" s="158" t="s">
        <v>218</v>
      </c>
      <c r="C40" s="25"/>
      <c r="D40" s="25"/>
      <c r="E40" s="1"/>
      <c r="F40" s="25"/>
      <c r="G40" s="25"/>
      <c r="H40" s="1"/>
      <c r="I40" s="25"/>
      <c r="J40" s="1"/>
      <c r="K40" s="25"/>
      <c r="L40" s="1"/>
      <c r="M40" s="25"/>
      <c r="N40" s="1"/>
      <c r="O40" s="1"/>
    </row>
    <row r="41" spans="1:15" ht="15" customHeight="1">
      <c r="A41" s="209" t="s">
        <v>336</v>
      </c>
      <c r="B41" s="59" t="s">
        <v>54</v>
      </c>
      <c r="C41" s="25">
        <f>SUM(D41:O41)</f>
        <v>159653</v>
      </c>
      <c r="D41" s="25">
        <v>75356</v>
      </c>
      <c r="E41" s="1">
        <v>0</v>
      </c>
      <c r="F41" s="25">
        <v>100</v>
      </c>
      <c r="G41" s="25">
        <v>300</v>
      </c>
      <c r="H41" s="1">
        <v>0</v>
      </c>
      <c r="I41" s="25">
        <v>979</v>
      </c>
      <c r="J41" s="1">
        <v>0</v>
      </c>
      <c r="K41" s="25">
        <v>75384</v>
      </c>
      <c r="L41" s="1">
        <v>0</v>
      </c>
      <c r="M41" s="25">
        <v>7534</v>
      </c>
      <c r="N41" s="1">
        <v>0</v>
      </c>
      <c r="O41" s="1">
        <v>0</v>
      </c>
    </row>
    <row r="42" spans="1:15" ht="17.25" customHeight="1">
      <c r="A42" s="88"/>
      <c r="B42" s="188" t="s">
        <v>219</v>
      </c>
      <c r="C42" s="25"/>
      <c r="D42" s="25"/>
      <c r="E42" s="1"/>
      <c r="F42" s="25"/>
      <c r="G42" s="25"/>
      <c r="H42" s="1"/>
      <c r="I42" s="25"/>
      <c r="J42" s="1"/>
      <c r="K42" s="25"/>
      <c r="L42" s="1"/>
      <c r="M42" s="25"/>
      <c r="N42" s="1"/>
      <c r="O42" s="1"/>
    </row>
    <row r="43" spans="1:15" ht="15" customHeight="1">
      <c r="A43" s="88" t="s">
        <v>337</v>
      </c>
      <c r="B43" s="59" t="s">
        <v>53</v>
      </c>
      <c r="C43" s="25">
        <f>SUM(D43:O43)</f>
        <v>90781</v>
      </c>
      <c r="D43" s="25">
        <v>79769</v>
      </c>
      <c r="E43" s="1">
        <v>0</v>
      </c>
      <c r="F43" s="25">
        <v>100</v>
      </c>
      <c r="G43" s="25">
        <v>300</v>
      </c>
      <c r="H43" s="1">
        <v>0</v>
      </c>
      <c r="I43" s="25">
        <v>912</v>
      </c>
      <c r="J43" s="1">
        <v>0</v>
      </c>
      <c r="K43" s="25">
        <v>9027</v>
      </c>
      <c r="L43" s="1">
        <v>0</v>
      </c>
      <c r="M43" s="25">
        <v>673</v>
      </c>
      <c r="N43" s="1">
        <v>0</v>
      </c>
      <c r="O43" s="1">
        <v>0</v>
      </c>
    </row>
    <row r="44" spans="1:15" ht="15" customHeight="1">
      <c r="A44" s="88"/>
      <c r="B44" s="158" t="s">
        <v>218</v>
      </c>
      <c r="C44" s="25"/>
      <c r="D44" s="25"/>
      <c r="E44" s="1"/>
      <c r="F44" s="25"/>
      <c r="G44" s="25"/>
      <c r="H44" s="1"/>
      <c r="I44" s="25"/>
      <c r="J44" s="1"/>
      <c r="K44" s="25"/>
      <c r="L44" s="1"/>
      <c r="M44" s="25"/>
      <c r="N44" s="1"/>
      <c r="O44" s="1"/>
    </row>
    <row r="45" spans="1:15" ht="15" customHeight="1">
      <c r="A45" s="212">
        <v>2005</v>
      </c>
      <c r="B45" s="59" t="s">
        <v>54</v>
      </c>
      <c r="C45" s="25">
        <f>SUM(D45:O45)</f>
        <v>171711</v>
      </c>
      <c r="D45" s="25">
        <v>79769</v>
      </c>
      <c r="E45" s="1">
        <v>0</v>
      </c>
      <c r="F45" s="25">
        <v>100</v>
      </c>
      <c r="G45" s="25">
        <v>300</v>
      </c>
      <c r="H45" s="1">
        <v>0</v>
      </c>
      <c r="I45" s="25">
        <v>912</v>
      </c>
      <c r="J45" s="1">
        <v>0</v>
      </c>
      <c r="K45" s="25">
        <v>83400</v>
      </c>
      <c r="L45" s="1">
        <v>0</v>
      </c>
      <c r="M45" s="25">
        <v>7230</v>
      </c>
      <c r="N45" s="1">
        <v>0</v>
      </c>
      <c r="O45" s="1">
        <v>0</v>
      </c>
    </row>
    <row r="46" spans="1:15" ht="15" customHeight="1">
      <c r="A46" s="88"/>
      <c r="B46" s="188" t="s">
        <v>219</v>
      </c>
      <c r="C46" s="25"/>
      <c r="D46" s="25"/>
      <c r="E46" s="1"/>
      <c r="F46" s="25"/>
      <c r="G46" s="25"/>
      <c r="H46" s="1"/>
      <c r="I46" s="25"/>
      <c r="J46" s="1"/>
      <c r="K46" s="25"/>
      <c r="L46" s="1"/>
      <c r="M46" s="25"/>
      <c r="N46" s="1"/>
      <c r="O46" s="1"/>
    </row>
    <row r="47" spans="1:15" ht="15" customHeight="1">
      <c r="A47" s="88" t="s">
        <v>395</v>
      </c>
      <c r="B47" s="59" t="s">
        <v>27</v>
      </c>
      <c r="C47" s="25">
        <f>SUM(D47:M47)</f>
        <v>88891</v>
      </c>
      <c r="D47" s="26">
        <v>75892</v>
      </c>
      <c r="E47" s="1">
        <v>0</v>
      </c>
      <c r="F47" s="77">
        <v>100</v>
      </c>
      <c r="G47" s="26">
        <v>393</v>
      </c>
      <c r="H47" s="1">
        <v>0</v>
      </c>
      <c r="I47" s="26">
        <v>1004</v>
      </c>
      <c r="J47" s="1">
        <v>0</v>
      </c>
      <c r="K47" s="26">
        <v>7914</v>
      </c>
      <c r="L47" s="77">
        <v>800</v>
      </c>
      <c r="M47" s="26">
        <v>2788</v>
      </c>
      <c r="N47" s="1">
        <v>0</v>
      </c>
      <c r="O47" s="1">
        <v>0</v>
      </c>
    </row>
    <row r="48" spans="1:15" ht="15" customHeight="1">
      <c r="A48" s="88"/>
      <c r="B48" s="158" t="s">
        <v>218</v>
      </c>
      <c r="C48" s="25"/>
      <c r="D48" s="26"/>
      <c r="E48" s="1"/>
      <c r="F48" s="1"/>
      <c r="G48" s="26"/>
      <c r="H48" s="1"/>
      <c r="I48" s="26"/>
      <c r="J48" s="1"/>
      <c r="K48" s="26"/>
      <c r="L48" s="1"/>
      <c r="M48" s="26"/>
      <c r="N48" s="1"/>
      <c r="O48" s="1"/>
    </row>
    <row r="49" spans="1:15" ht="15" customHeight="1">
      <c r="A49" s="138" t="s">
        <v>394</v>
      </c>
      <c r="B49" s="89" t="s">
        <v>4</v>
      </c>
      <c r="C49" s="25">
        <f>SUM(D49:M49)</f>
        <v>134428</v>
      </c>
      <c r="D49" s="26">
        <v>75892</v>
      </c>
      <c r="E49" s="1">
        <v>0</v>
      </c>
      <c r="F49" s="77">
        <v>100</v>
      </c>
      <c r="G49" s="26">
        <v>393</v>
      </c>
      <c r="H49" s="1">
        <v>0</v>
      </c>
      <c r="I49" s="26">
        <v>1004</v>
      </c>
      <c r="J49" s="1">
        <v>0</v>
      </c>
      <c r="K49" s="26">
        <v>52919</v>
      </c>
      <c r="L49" s="77">
        <v>800</v>
      </c>
      <c r="M49" s="26">
        <v>3320</v>
      </c>
      <c r="N49" s="1">
        <v>0</v>
      </c>
      <c r="O49" s="1">
        <v>0</v>
      </c>
    </row>
    <row r="50" spans="1:15" ht="15" customHeight="1">
      <c r="A50" s="76"/>
      <c r="B50" s="188" t="s">
        <v>219</v>
      </c>
      <c r="C50" s="25"/>
      <c r="D50" s="26"/>
      <c r="E50" s="1"/>
      <c r="F50" s="1"/>
      <c r="G50" s="26"/>
      <c r="H50" s="1"/>
      <c r="I50" s="26"/>
      <c r="J50" s="1"/>
      <c r="K50" s="26"/>
      <c r="L50" s="1"/>
      <c r="M50" s="26"/>
      <c r="N50" s="1"/>
      <c r="O50" s="1"/>
    </row>
    <row r="51" spans="1:15" ht="15" customHeight="1">
      <c r="A51" s="88" t="s">
        <v>401</v>
      </c>
      <c r="B51" s="59" t="s">
        <v>27</v>
      </c>
      <c r="C51" s="25">
        <f>SUM(D51:M51)</f>
        <v>98278</v>
      </c>
      <c r="D51" s="26">
        <v>79145</v>
      </c>
      <c r="E51" s="1">
        <v>0</v>
      </c>
      <c r="F51" s="77">
        <v>100</v>
      </c>
      <c r="G51" s="26">
        <v>695</v>
      </c>
      <c r="H51" s="1">
        <v>0</v>
      </c>
      <c r="I51" s="26">
        <v>1014</v>
      </c>
      <c r="J51" s="1">
        <v>0</v>
      </c>
      <c r="K51" s="26">
        <v>16225</v>
      </c>
      <c r="L51" s="1">
        <v>0</v>
      </c>
      <c r="M51" s="26">
        <v>1099</v>
      </c>
      <c r="N51" s="1">
        <v>0</v>
      </c>
      <c r="O51" s="1">
        <v>0</v>
      </c>
    </row>
    <row r="52" spans="1:15" ht="15" customHeight="1">
      <c r="A52" s="88"/>
      <c r="B52" s="158" t="s">
        <v>218</v>
      </c>
      <c r="C52" s="25"/>
      <c r="D52" s="26"/>
      <c r="E52" s="1"/>
      <c r="F52" s="1"/>
      <c r="G52" s="26"/>
      <c r="H52" s="1"/>
      <c r="I52" s="26"/>
      <c r="J52" s="1"/>
      <c r="K52" s="26"/>
      <c r="L52" s="1"/>
      <c r="M52" s="26"/>
      <c r="N52" s="1"/>
      <c r="O52" s="1"/>
    </row>
    <row r="53" spans="1:15" ht="15" customHeight="1">
      <c r="A53" s="138" t="s">
        <v>400</v>
      </c>
      <c r="B53" s="89" t="s">
        <v>4</v>
      </c>
      <c r="C53" s="25">
        <f>SUM(D53:M53)</f>
        <v>129184</v>
      </c>
      <c r="D53" s="26">
        <v>79456</v>
      </c>
      <c r="E53" s="1">
        <v>0</v>
      </c>
      <c r="F53" s="77">
        <v>100</v>
      </c>
      <c r="G53" s="26">
        <v>695</v>
      </c>
      <c r="H53" s="1">
        <v>0</v>
      </c>
      <c r="I53" s="26">
        <v>1014</v>
      </c>
      <c r="J53" s="1">
        <v>0</v>
      </c>
      <c r="K53" s="26">
        <v>46790</v>
      </c>
      <c r="L53" s="1">
        <v>0</v>
      </c>
      <c r="M53" s="26">
        <v>1129</v>
      </c>
      <c r="N53" s="1">
        <v>0</v>
      </c>
      <c r="O53" s="1">
        <v>0</v>
      </c>
    </row>
    <row r="54" spans="1:15" ht="15" customHeight="1">
      <c r="A54" s="76"/>
      <c r="B54" s="188" t="s">
        <v>219</v>
      </c>
      <c r="C54" s="25"/>
      <c r="D54" s="26"/>
      <c r="E54" s="1"/>
      <c r="F54" s="1"/>
      <c r="G54" s="26"/>
      <c r="H54" s="1"/>
      <c r="I54" s="26"/>
      <c r="J54" s="1"/>
      <c r="K54" s="26"/>
      <c r="L54" s="1"/>
      <c r="M54" s="26"/>
      <c r="N54" s="1"/>
      <c r="O54" s="1"/>
    </row>
    <row r="55" spans="1:15" ht="15" customHeight="1">
      <c r="A55" s="88" t="s">
        <v>402</v>
      </c>
      <c r="B55" s="59" t="s">
        <v>27</v>
      </c>
      <c r="C55" s="25">
        <f>SUM(D55:M55)</f>
        <v>96943</v>
      </c>
      <c r="D55" s="26">
        <v>77905</v>
      </c>
      <c r="E55" s="1">
        <v>0</v>
      </c>
      <c r="F55" s="77">
        <v>101</v>
      </c>
      <c r="G55" s="26">
        <v>825</v>
      </c>
      <c r="H55" s="1">
        <v>0</v>
      </c>
      <c r="I55" s="26">
        <v>984</v>
      </c>
      <c r="J55" s="1">
        <v>0</v>
      </c>
      <c r="K55" s="26">
        <v>16046</v>
      </c>
      <c r="L55" s="1">
        <v>0</v>
      </c>
      <c r="M55" s="26">
        <v>1082</v>
      </c>
      <c r="N55" s="1">
        <v>0</v>
      </c>
      <c r="O55" s="1">
        <v>0</v>
      </c>
    </row>
    <row r="56" spans="1:15" ht="15" customHeight="1">
      <c r="A56" s="88"/>
      <c r="B56" s="158" t="s">
        <v>218</v>
      </c>
      <c r="C56" s="25"/>
      <c r="D56" s="26"/>
      <c r="E56" s="1"/>
      <c r="F56" s="1"/>
      <c r="G56" s="26"/>
      <c r="H56" s="1"/>
      <c r="I56" s="26"/>
      <c r="J56" s="1"/>
      <c r="K56" s="26"/>
      <c r="L56" s="1"/>
      <c r="M56" s="26"/>
      <c r="N56" s="1"/>
      <c r="O56" s="1"/>
    </row>
    <row r="57" spans="1:15" ht="15" customHeight="1">
      <c r="A57" s="138" t="s">
        <v>403</v>
      </c>
      <c r="B57" s="89" t="s">
        <v>4</v>
      </c>
      <c r="C57" s="25">
        <f>SUM(D57:M57)</f>
        <v>131510</v>
      </c>
      <c r="D57" s="26">
        <v>78923</v>
      </c>
      <c r="E57" s="1">
        <v>0</v>
      </c>
      <c r="F57" s="77">
        <v>101</v>
      </c>
      <c r="G57" s="26">
        <v>1925</v>
      </c>
      <c r="H57" s="1">
        <v>0</v>
      </c>
      <c r="I57" s="26">
        <v>1284</v>
      </c>
      <c r="J57" s="1">
        <v>0</v>
      </c>
      <c r="K57" s="26">
        <v>47295</v>
      </c>
      <c r="L57" s="1">
        <v>0</v>
      </c>
      <c r="M57" s="26">
        <v>1982</v>
      </c>
      <c r="N57" s="1">
        <v>0</v>
      </c>
      <c r="O57" s="1">
        <v>0</v>
      </c>
    </row>
    <row r="58" spans="1:15" ht="15" customHeight="1">
      <c r="A58" s="76"/>
      <c r="B58" s="188" t="s">
        <v>219</v>
      </c>
      <c r="C58" s="25"/>
      <c r="D58" s="26"/>
      <c r="E58" s="1"/>
      <c r="F58" s="1"/>
      <c r="G58" s="26"/>
      <c r="H58" s="1"/>
      <c r="I58" s="26"/>
      <c r="J58" s="1"/>
      <c r="K58" s="26"/>
      <c r="L58" s="1"/>
      <c r="M58" s="26"/>
      <c r="N58" s="1"/>
      <c r="O58" s="1"/>
    </row>
    <row r="59" spans="1:15" ht="15" customHeight="1">
      <c r="A59" s="88" t="s">
        <v>405</v>
      </c>
      <c r="B59" s="59" t="s">
        <v>27</v>
      </c>
      <c r="C59" s="25">
        <f>SUM(D59:M59)</f>
        <v>102819</v>
      </c>
      <c r="D59" s="26">
        <v>83667</v>
      </c>
      <c r="E59" s="1">
        <v>0</v>
      </c>
      <c r="F59" s="77">
        <v>151</v>
      </c>
      <c r="G59" s="26">
        <v>822</v>
      </c>
      <c r="H59" s="1">
        <v>0</v>
      </c>
      <c r="I59" s="26">
        <v>1048</v>
      </c>
      <c r="J59" s="1">
        <v>0</v>
      </c>
      <c r="K59" s="26">
        <v>16181</v>
      </c>
      <c r="L59" s="1">
        <v>0</v>
      </c>
      <c r="M59" s="26">
        <v>950</v>
      </c>
      <c r="N59" s="1">
        <v>0</v>
      </c>
      <c r="O59" s="1">
        <v>0</v>
      </c>
    </row>
    <row r="60" spans="1:15" ht="15" customHeight="1">
      <c r="A60" s="88"/>
      <c r="B60" s="158" t="s">
        <v>218</v>
      </c>
      <c r="C60" s="25"/>
      <c r="D60" s="26"/>
      <c r="E60" s="1"/>
      <c r="F60" s="1"/>
      <c r="G60" s="26"/>
      <c r="H60" s="1"/>
      <c r="I60" s="26"/>
      <c r="J60" s="1"/>
      <c r="K60" s="26"/>
      <c r="L60" s="1"/>
      <c r="M60" s="26"/>
      <c r="N60" s="1"/>
      <c r="O60" s="1"/>
    </row>
    <row r="61" spans="1:15" ht="15" customHeight="1">
      <c r="A61" s="138" t="s">
        <v>406</v>
      </c>
      <c r="B61" s="89" t="s">
        <v>4</v>
      </c>
      <c r="C61" s="25">
        <f>SUM(D61:M61)</f>
        <v>102819</v>
      </c>
      <c r="D61" s="26">
        <v>83667</v>
      </c>
      <c r="E61" s="1">
        <v>0</v>
      </c>
      <c r="F61" s="77">
        <v>151</v>
      </c>
      <c r="G61" s="26">
        <v>822</v>
      </c>
      <c r="H61" s="1">
        <v>0</v>
      </c>
      <c r="I61" s="26">
        <v>1048</v>
      </c>
      <c r="J61" s="1">
        <v>0</v>
      </c>
      <c r="K61" s="26">
        <v>16181</v>
      </c>
      <c r="L61" s="1">
        <v>0</v>
      </c>
      <c r="M61" s="26">
        <v>950</v>
      </c>
      <c r="N61" s="1">
        <v>0</v>
      </c>
      <c r="O61" s="1">
        <v>0</v>
      </c>
    </row>
    <row r="62" spans="1:15" ht="15" customHeight="1">
      <c r="A62" s="76"/>
      <c r="B62" s="188" t="s">
        <v>219</v>
      </c>
      <c r="C62" s="25"/>
      <c r="D62" s="26"/>
      <c r="E62" s="1"/>
      <c r="F62" s="1"/>
      <c r="G62" s="26"/>
      <c r="H62" s="1"/>
      <c r="I62" s="26"/>
      <c r="J62" s="1"/>
      <c r="K62" s="26"/>
      <c r="L62" s="1"/>
      <c r="M62" s="26"/>
      <c r="N62" s="1"/>
      <c r="O62" s="1"/>
    </row>
    <row r="63" spans="1:15" ht="8.25" customHeight="1" thickBot="1">
      <c r="A63" s="93"/>
      <c r="B63" s="94"/>
      <c r="C63" s="34"/>
      <c r="D63" s="35"/>
      <c r="E63" s="2"/>
      <c r="F63" s="35"/>
      <c r="G63" s="35"/>
      <c r="H63" s="2"/>
      <c r="I63" s="35"/>
      <c r="J63" s="2"/>
      <c r="K63" s="35"/>
      <c r="L63" s="2"/>
      <c r="M63" s="35"/>
      <c r="N63" s="2"/>
      <c r="O63" s="2"/>
    </row>
    <row r="64" spans="1:14" ht="15.75">
      <c r="A64" s="99" t="s">
        <v>456</v>
      </c>
      <c r="B64" s="95"/>
      <c r="C64" s="96"/>
      <c r="D64" s="97"/>
      <c r="E64" s="97"/>
      <c r="F64" s="97"/>
      <c r="G64" s="97"/>
      <c r="H64" s="98"/>
      <c r="I64" s="97"/>
      <c r="J64" s="97"/>
      <c r="K64" s="97"/>
      <c r="L64" s="97"/>
      <c r="M64" s="97"/>
      <c r="N64" s="97"/>
    </row>
    <row r="65" spans="1:2" ht="16.5" customHeight="1">
      <c r="A65" s="254" t="s">
        <v>457</v>
      </c>
      <c r="B65" s="95"/>
    </row>
    <row r="67" ht="15.75">
      <c r="B67" s="102"/>
    </row>
  </sheetData>
  <sheetProtection/>
  <mergeCells count="1">
    <mergeCell ref="N1:O1"/>
  </mergeCells>
  <printOptions/>
  <pageMargins left="0.7480314960629921" right="0.7480314960629921" top="0.5905511811023623" bottom="0.6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9"/>
  <sheetViews>
    <sheetView zoomScale="120" zoomScaleNormal="120" zoomScalePageLayoutView="0" workbookViewId="0" topLeftCell="A1">
      <pane ySplit="6" topLeftCell="A42" activePane="bottomLeft" state="frozen"/>
      <selection pane="topLeft" activeCell="A1" sqref="A1"/>
      <selection pane="bottomLeft" activeCell="O53" sqref="O53"/>
    </sheetView>
  </sheetViews>
  <sheetFormatPr defaultColWidth="9.00390625" defaultRowHeight="16.5"/>
  <cols>
    <col min="1" max="1" width="10.00390625" style="65" customWidth="1"/>
    <col min="2" max="2" width="10.50390625" style="65" customWidth="1"/>
    <col min="3" max="4" width="11.125" style="27" customWidth="1"/>
    <col min="5" max="5" width="11.00390625" style="27" customWidth="1"/>
    <col min="6" max="6" width="10.75390625" style="27" customWidth="1"/>
    <col min="7" max="7" width="11.375" style="27" customWidth="1"/>
    <col min="8" max="8" width="9.50390625" style="27" customWidth="1"/>
    <col min="9" max="9" width="12.75390625" style="27" customWidth="1"/>
    <col min="10" max="10" width="12.50390625" style="27" customWidth="1"/>
    <col min="11" max="11" width="13.625" style="27" customWidth="1"/>
    <col min="12" max="12" width="12.50390625" style="27" customWidth="1"/>
    <col min="13" max="13" width="10.75390625" style="27" customWidth="1"/>
    <col min="14" max="14" width="10.50390625" style="27" customWidth="1"/>
    <col min="15" max="15" width="13.50390625" style="27" customWidth="1"/>
    <col min="16" max="16384" width="9.00390625" style="27" customWidth="1"/>
  </cols>
  <sheetData>
    <row r="1" spans="1:15" ht="15.75">
      <c r="A1" s="3" t="s">
        <v>449</v>
      </c>
      <c r="B1" s="78"/>
      <c r="C1" s="39"/>
      <c r="D1" s="39"/>
      <c r="E1" s="39"/>
      <c r="F1" s="39"/>
      <c r="G1" s="39"/>
      <c r="H1" s="79"/>
      <c r="I1" s="39"/>
      <c r="J1" s="39"/>
      <c r="K1" s="39"/>
      <c r="L1" s="39"/>
      <c r="M1" s="80"/>
      <c r="N1" s="290" t="s">
        <v>477</v>
      </c>
      <c r="O1" s="290"/>
    </row>
    <row r="2" spans="1:15" ht="26.25" customHeight="1">
      <c r="A2" s="81" t="s">
        <v>478</v>
      </c>
      <c r="B2" s="82"/>
      <c r="C2" s="83"/>
      <c r="D2" s="83"/>
      <c r="E2" s="83"/>
      <c r="F2" s="83"/>
      <c r="G2" s="83"/>
      <c r="H2" s="84"/>
      <c r="I2" s="260" t="s">
        <v>479</v>
      </c>
      <c r="J2" s="83"/>
      <c r="K2" s="83"/>
      <c r="L2" s="83"/>
      <c r="M2" s="83"/>
      <c r="N2" s="83"/>
      <c r="O2" s="85"/>
    </row>
    <row r="3" spans="1:35" ht="15" customHeight="1">
      <c r="A3" s="86" t="s">
        <v>215</v>
      </c>
      <c r="B3" s="82"/>
      <c r="C3" s="83"/>
      <c r="D3" s="83"/>
      <c r="E3" s="83"/>
      <c r="F3" s="83"/>
      <c r="G3" s="83"/>
      <c r="H3" s="84"/>
      <c r="I3" s="86" t="s">
        <v>216</v>
      </c>
      <c r="J3" s="83"/>
      <c r="K3" s="83"/>
      <c r="L3" s="83"/>
      <c r="M3" s="83"/>
      <c r="N3" s="83"/>
      <c r="O3" s="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</row>
    <row r="4" spans="1:15" ht="14.25" customHeight="1" thickBot="1">
      <c r="A4" s="122" t="s">
        <v>204</v>
      </c>
      <c r="B4" s="122"/>
      <c r="C4" s="87"/>
      <c r="D4" s="87"/>
      <c r="E4" s="87"/>
      <c r="F4" s="87"/>
      <c r="G4" s="87"/>
      <c r="H4" s="87"/>
      <c r="I4" s="87"/>
      <c r="J4" s="87"/>
      <c r="K4" s="87"/>
      <c r="L4" s="87"/>
      <c r="M4" s="173"/>
      <c r="N4" s="173"/>
      <c r="O4" s="184" t="s">
        <v>115</v>
      </c>
    </row>
    <row r="5" spans="1:15" ht="27" customHeight="1">
      <c r="A5" s="176" t="s">
        <v>194</v>
      </c>
      <c r="B5" s="177"/>
      <c r="C5" s="180" t="s">
        <v>195</v>
      </c>
      <c r="D5" s="180" t="s">
        <v>196</v>
      </c>
      <c r="E5" s="180" t="s">
        <v>197</v>
      </c>
      <c r="F5" s="180" t="s">
        <v>198</v>
      </c>
      <c r="G5" s="180" t="s">
        <v>199</v>
      </c>
      <c r="H5" s="180" t="s">
        <v>86</v>
      </c>
      <c r="I5" s="179" t="s">
        <v>201</v>
      </c>
      <c r="J5" s="180" t="s">
        <v>390</v>
      </c>
      <c r="K5" s="179" t="s">
        <v>217</v>
      </c>
      <c r="L5" s="179" t="s">
        <v>391</v>
      </c>
      <c r="M5" s="179" t="s">
        <v>32</v>
      </c>
      <c r="N5" s="179" t="s">
        <v>30</v>
      </c>
      <c r="O5" s="178" t="s">
        <v>31</v>
      </c>
    </row>
    <row r="6" spans="1:15" ht="30" customHeight="1" thickBot="1">
      <c r="A6" s="181" t="s">
        <v>205</v>
      </c>
      <c r="B6" s="123"/>
      <c r="C6" s="182" t="s">
        <v>206</v>
      </c>
      <c r="D6" s="183" t="s">
        <v>207</v>
      </c>
      <c r="E6" s="183" t="s">
        <v>208</v>
      </c>
      <c r="F6" s="183" t="s">
        <v>209</v>
      </c>
      <c r="G6" s="183" t="s">
        <v>210</v>
      </c>
      <c r="H6" s="128"/>
      <c r="I6" s="183" t="s">
        <v>211</v>
      </c>
      <c r="J6" s="183" t="s">
        <v>212</v>
      </c>
      <c r="K6" s="183" t="s">
        <v>213</v>
      </c>
      <c r="L6" s="183" t="s">
        <v>214</v>
      </c>
      <c r="M6" s="182" t="s">
        <v>186</v>
      </c>
      <c r="N6" s="174"/>
      <c r="O6" s="175"/>
    </row>
    <row r="7" spans="1:15" ht="15" customHeight="1" hidden="1">
      <c r="A7" s="88" t="s">
        <v>402</v>
      </c>
      <c r="B7" s="59" t="s">
        <v>27</v>
      </c>
      <c r="C7" s="25">
        <f>SUM(D7:M7)</f>
        <v>96943</v>
      </c>
      <c r="D7" s="26">
        <v>77905</v>
      </c>
      <c r="E7" s="1">
        <v>0</v>
      </c>
      <c r="F7" s="77">
        <v>101</v>
      </c>
      <c r="G7" s="26">
        <v>825</v>
      </c>
      <c r="H7" s="1">
        <v>0</v>
      </c>
      <c r="I7" s="26">
        <v>984</v>
      </c>
      <c r="J7" s="1">
        <v>0</v>
      </c>
      <c r="K7" s="26">
        <v>16046</v>
      </c>
      <c r="L7" s="1">
        <v>0</v>
      </c>
      <c r="M7" s="26">
        <v>1082</v>
      </c>
      <c r="N7" s="1">
        <v>0</v>
      </c>
      <c r="O7" s="1">
        <v>0</v>
      </c>
    </row>
    <row r="8" spans="1:15" ht="15" customHeight="1" hidden="1">
      <c r="A8" s="88"/>
      <c r="B8" s="158" t="s">
        <v>218</v>
      </c>
      <c r="C8" s="25"/>
      <c r="D8" s="26"/>
      <c r="E8" s="1"/>
      <c r="F8" s="1"/>
      <c r="G8" s="26"/>
      <c r="H8" s="1"/>
      <c r="I8" s="26"/>
      <c r="J8" s="1"/>
      <c r="K8" s="26"/>
      <c r="L8" s="1"/>
      <c r="M8" s="26"/>
      <c r="N8" s="1"/>
      <c r="O8" s="1"/>
    </row>
    <row r="9" spans="1:15" ht="15" customHeight="1" hidden="1">
      <c r="A9" s="138" t="s">
        <v>403</v>
      </c>
      <c r="B9" s="89" t="s">
        <v>4</v>
      </c>
      <c r="C9" s="25">
        <f>SUM(D9:M9)</f>
        <v>131510</v>
      </c>
      <c r="D9" s="26">
        <v>78923</v>
      </c>
      <c r="E9" s="1">
        <v>0</v>
      </c>
      <c r="F9" s="77">
        <v>101</v>
      </c>
      <c r="G9" s="26">
        <v>1925</v>
      </c>
      <c r="H9" s="1">
        <v>0</v>
      </c>
      <c r="I9" s="26">
        <v>1284</v>
      </c>
      <c r="J9" s="1">
        <v>0</v>
      </c>
      <c r="K9" s="26">
        <v>47295</v>
      </c>
      <c r="L9" s="1">
        <v>0</v>
      </c>
      <c r="M9" s="26">
        <v>1982</v>
      </c>
      <c r="N9" s="1">
        <v>0</v>
      </c>
      <c r="O9" s="1">
        <v>0</v>
      </c>
    </row>
    <row r="10" spans="1:15" ht="15" customHeight="1" hidden="1">
      <c r="A10" s="76"/>
      <c r="B10" s="188" t="s">
        <v>219</v>
      </c>
      <c r="C10" s="25"/>
      <c r="D10" s="26"/>
      <c r="E10" s="1"/>
      <c r="F10" s="1"/>
      <c r="G10" s="26"/>
      <c r="H10" s="1"/>
      <c r="I10" s="26"/>
      <c r="J10" s="1"/>
      <c r="K10" s="26"/>
      <c r="L10" s="1"/>
      <c r="M10" s="26"/>
      <c r="N10" s="1"/>
      <c r="O10" s="1"/>
    </row>
    <row r="11" spans="1:15" ht="15" customHeight="1" hidden="1">
      <c r="A11" s="88" t="s">
        <v>405</v>
      </c>
      <c r="B11" s="59" t="s">
        <v>27</v>
      </c>
      <c r="C11" s="25">
        <f>SUM(D11:M11)</f>
        <v>102819</v>
      </c>
      <c r="D11" s="26">
        <v>83667</v>
      </c>
      <c r="E11" s="1">
        <v>0</v>
      </c>
      <c r="F11" s="77">
        <v>151</v>
      </c>
      <c r="G11" s="26">
        <v>822</v>
      </c>
      <c r="H11" s="1">
        <v>0</v>
      </c>
      <c r="I11" s="26">
        <v>1048</v>
      </c>
      <c r="J11" s="1">
        <v>0</v>
      </c>
      <c r="K11" s="26">
        <v>16181</v>
      </c>
      <c r="L11" s="1">
        <v>0</v>
      </c>
      <c r="M11" s="26">
        <v>950</v>
      </c>
      <c r="N11" s="1">
        <v>0</v>
      </c>
      <c r="O11" s="1">
        <v>0</v>
      </c>
    </row>
    <row r="12" spans="1:15" ht="15" customHeight="1" hidden="1">
      <c r="A12" s="88"/>
      <c r="B12" s="158" t="s">
        <v>218</v>
      </c>
      <c r="C12" s="25"/>
      <c r="D12" s="26"/>
      <c r="E12" s="1"/>
      <c r="F12" s="1"/>
      <c r="G12" s="26"/>
      <c r="H12" s="1"/>
      <c r="I12" s="26"/>
      <c r="J12" s="1"/>
      <c r="K12" s="26"/>
      <c r="L12" s="1"/>
      <c r="M12" s="26"/>
      <c r="N12" s="1"/>
      <c r="O12" s="1"/>
    </row>
    <row r="13" spans="1:15" ht="15" customHeight="1" hidden="1">
      <c r="A13" s="138" t="s">
        <v>406</v>
      </c>
      <c r="B13" s="89" t="s">
        <v>4</v>
      </c>
      <c r="C13" s="25">
        <f>SUM(D13:M13)</f>
        <v>102819</v>
      </c>
      <c r="D13" s="26">
        <v>83667</v>
      </c>
      <c r="E13" s="1">
        <v>0</v>
      </c>
      <c r="F13" s="77">
        <v>151</v>
      </c>
      <c r="G13" s="26">
        <v>822</v>
      </c>
      <c r="H13" s="1">
        <v>0</v>
      </c>
      <c r="I13" s="26">
        <v>1048</v>
      </c>
      <c r="J13" s="1">
        <v>0</v>
      </c>
      <c r="K13" s="26">
        <v>16181</v>
      </c>
      <c r="L13" s="1">
        <v>0</v>
      </c>
      <c r="M13" s="26">
        <v>950</v>
      </c>
      <c r="N13" s="1">
        <v>0</v>
      </c>
      <c r="O13" s="1">
        <v>0</v>
      </c>
    </row>
    <row r="14" spans="1:15" ht="15" customHeight="1" hidden="1">
      <c r="A14" s="76"/>
      <c r="B14" s="188" t="s">
        <v>219</v>
      </c>
      <c r="C14" s="25"/>
      <c r="D14" s="26"/>
      <c r="E14" s="1"/>
      <c r="F14" s="1"/>
      <c r="G14" s="26"/>
      <c r="H14" s="1"/>
      <c r="I14" s="26"/>
      <c r="J14" s="1"/>
      <c r="K14" s="26"/>
      <c r="L14" s="1"/>
      <c r="M14" s="26"/>
      <c r="N14" s="1"/>
      <c r="O14" s="1"/>
    </row>
    <row r="15" spans="1:15" ht="15" customHeight="1">
      <c r="A15" s="88" t="s">
        <v>412</v>
      </c>
      <c r="B15" s="59" t="s">
        <v>27</v>
      </c>
      <c r="C15" s="25">
        <f>SUM(D15:M15)</f>
        <v>93988</v>
      </c>
      <c r="D15" s="26">
        <v>73491</v>
      </c>
      <c r="E15" s="1">
        <v>0</v>
      </c>
      <c r="F15" s="77">
        <v>151</v>
      </c>
      <c r="G15" s="26">
        <v>866</v>
      </c>
      <c r="H15" s="1">
        <v>0</v>
      </c>
      <c r="I15" s="26">
        <v>1040</v>
      </c>
      <c r="J15" s="1">
        <v>0</v>
      </c>
      <c r="K15" s="26">
        <v>17490</v>
      </c>
      <c r="L15" s="1">
        <v>0</v>
      </c>
      <c r="M15" s="26">
        <v>950</v>
      </c>
      <c r="N15" s="1">
        <v>0</v>
      </c>
      <c r="O15" s="1">
        <v>0</v>
      </c>
    </row>
    <row r="16" spans="1:15" ht="15" customHeight="1">
      <c r="A16" s="88"/>
      <c r="B16" s="158" t="s">
        <v>218</v>
      </c>
      <c r="C16" s="25"/>
      <c r="D16" s="26"/>
      <c r="E16" s="1"/>
      <c r="F16" s="1"/>
      <c r="G16" s="26"/>
      <c r="H16" s="1"/>
      <c r="I16" s="26"/>
      <c r="J16" s="1"/>
      <c r="K16" s="26"/>
      <c r="L16" s="1"/>
      <c r="M16" s="26"/>
      <c r="N16" s="1"/>
      <c r="O16" s="1"/>
    </row>
    <row r="17" spans="1:15" ht="15" customHeight="1">
      <c r="A17" s="138" t="s">
        <v>413</v>
      </c>
      <c r="B17" s="89" t="s">
        <v>4</v>
      </c>
      <c r="C17" s="25">
        <f>SUM(D17:M17)</f>
        <v>203741</v>
      </c>
      <c r="D17" s="26">
        <v>73491</v>
      </c>
      <c r="E17" s="1">
        <v>0</v>
      </c>
      <c r="F17" s="77">
        <v>151</v>
      </c>
      <c r="G17" s="26">
        <v>786</v>
      </c>
      <c r="H17" s="1">
        <v>0</v>
      </c>
      <c r="I17" s="26">
        <v>1030</v>
      </c>
      <c r="J17" s="1">
        <v>0</v>
      </c>
      <c r="K17" s="26">
        <v>102173</v>
      </c>
      <c r="L17" s="1">
        <v>11160</v>
      </c>
      <c r="M17" s="26">
        <v>14950</v>
      </c>
      <c r="N17" s="1">
        <v>0</v>
      </c>
      <c r="O17" s="1">
        <v>0</v>
      </c>
    </row>
    <row r="18" spans="1:15" ht="15" customHeight="1">
      <c r="A18" s="76"/>
      <c r="B18" s="188" t="s">
        <v>219</v>
      </c>
      <c r="C18" s="25"/>
      <c r="D18" s="26"/>
      <c r="E18" s="1"/>
      <c r="F18" s="1"/>
      <c r="G18" s="26"/>
      <c r="H18" s="1"/>
      <c r="I18" s="26"/>
      <c r="J18" s="1"/>
      <c r="K18" s="26"/>
      <c r="L18" s="1"/>
      <c r="M18" s="26"/>
      <c r="N18" s="1"/>
      <c r="O18" s="1"/>
    </row>
    <row r="19" spans="1:15" s="235" customFormat="1" ht="15" customHeight="1">
      <c r="A19" s="229" t="s">
        <v>416</v>
      </c>
      <c r="B19" s="230" t="s">
        <v>27</v>
      </c>
      <c r="C19" s="231">
        <f>SUM(D19:M19)</f>
        <v>140486</v>
      </c>
      <c r="D19" s="232">
        <v>90596</v>
      </c>
      <c r="E19" s="233">
        <v>0</v>
      </c>
      <c r="F19" s="234">
        <v>50</v>
      </c>
      <c r="G19" s="232">
        <v>680</v>
      </c>
      <c r="H19" s="233">
        <v>0</v>
      </c>
      <c r="I19" s="232">
        <v>681</v>
      </c>
      <c r="J19" s="233">
        <v>0</v>
      </c>
      <c r="K19" s="232">
        <v>48279</v>
      </c>
      <c r="L19" s="233">
        <v>0</v>
      </c>
      <c r="M19" s="232">
        <v>200</v>
      </c>
      <c r="N19" s="233">
        <v>0</v>
      </c>
      <c r="O19" s="233">
        <v>0</v>
      </c>
    </row>
    <row r="20" spans="1:15" s="235" customFormat="1" ht="15" customHeight="1">
      <c r="A20" s="229"/>
      <c r="B20" s="224" t="s">
        <v>218</v>
      </c>
      <c r="C20" s="231"/>
      <c r="D20" s="232"/>
      <c r="E20" s="233"/>
      <c r="F20" s="233"/>
      <c r="G20" s="232"/>
      <c r="H20" s="233"/>
      <c r="I20" s="232"/>
      <c r="J20" s="233"/>
      <c r="K20" s="232"/>
      <c r="L20" s="233"/>
      <c r="M20" s="232"/>
      <c r="N20" s="233"/>
      <c r="O20" s="233"/>
    </row>
    <row r="21" spans="1:15" s="235" customFormat="1" ht="15" customHeight="1">
      <c r="A21" s="228" t="s">
        <v>417</v>
      </c>
      <c r="B21" s="236" t="s">
        <v>4</v>
      </c>
      <c r="C21" s="231">
        <f>SUM(D21:M21)</f>
        <v>208363</v>
      </c>
      <c r="D21" s="232">
        <v>102921</v>
      </c>
      <c r="E21" s="233">
        <v>0</v>
      </c>
      <c r="F21" s="234">
        <v>50</v>
      </c>
      <c r="G21" s="232">
        <v>680</v>
      </c>
      <c r="H21" s="233">
        <v>0</v>
      </c>
      <c r="I21" s="232">
        <v>681</v>
      </c>
      <c r="J21" s="233">
        <v>0</v>
      </c>
      <c r="K21" s="232">
        <v>103831</v>
      </c>
      <c r="L21" s="233">
        <v>0</v>
      </c>
      <c r="M21" s="232">
        <v>200</v>
      </c>
      <c r="N21" s="233">
        <v>0</v>
      </c>
      <c r="O21" s="233">
        <v>0</v>
      </c>
    </row>
    <row r="22" spans="1:15" ht="15" customHeight="1">
      <c r="A22" s="76"/>
      <c r="B22" s="188" t="s">
        <v>219</v>
      </c>
      <c r="C22" s="25"/>
      <c r="D22" s="26"/>
      <c r="E22" s="1"/>
      <c r="F22" s="1"/>
      <c r="G22" s="26"/>
      <c r="H22" s="1"/>
      <c r="I22" s="26"/>
      <c r="J22" s="1"/>
      <c r="K22" s="26"/>
      <c r="L22" s="1"/>
      <c r="M22" s="26"/>
      <c r="N22" s="1"/>
      <c r="O22" s="1"/>
    </row>
    <row r="23" spans="1:15" ht="15" customHeight="1">
      <c r="A23" s="229" t="s">
        <v>434</v>
      </c>
      <c r="B23" s="230" t="s">
        <v>27</v>
      </c>
      <c r="C23" s="231">
        <f>SUM(D23:M23)</f>
        <v>130907</v>
      </c>
      <c r="D23" s="232">
        <v>92224</v>
      </c>
      <c r="E23" s="233">
        <v>0</v>
      </c>
      <c r="F23" s="234">
        <v>50</v>
      </c>
      <c r="G23" s="232">
        <v>700</v>
      </c>
      <c r="H23" s="233">
        <v>0</v>
      </c>
      <c r="I23" s="232">
        <v>1171</v>
      </c>
      <c r="J23" s="233">
        <v>0</v>
      </c>
      <c r="K23" s="232">
        <v>36462</v>
      </c>
      <c r="L23" s="233">
        <v>0</v>
      </c>
      <c r="M23" s="232">
        <v>300</v>
      </c>
      <c r="N23" s="233">
        <v>0</v>
      </c>
      <c r="O23" s="233">
        <v>0</v>
      </c>
    </row>
    <row r="24" spans="1:15" ht="15" customHeight="1">
      <c r="A24" s="229"/>
      <c r="B24" s="224" t="s">
        <v>218</v>
      </c>
      <c r="C24" s="231"/>
      <c r="D24" s="232"/>
      <c r="E24" s="233"/>
      <c r="F24" s="233"/>
      <c r="G24" s="232"/>
      <c r="H24" s="233"/>
      <c r="I24" s="232"/>
      <c r="J24" s="233"/>
      <c r="K24" s="232"/>
      <c r="L24" s="233"/>
      <c r="M24" s="232"/>
      <c r="N24" s="233"/>
      <c r="O24" s="233"/>
    </row>
    <row r="25" spans="1:15" ht="15" customHeight="1">
      <c r="A25" s="228" t="s">
        <v>435</v>
      </c>
      <c r="B25" s="236" t="s">
        <v>4</v>
      </c>
      <c r="C25" s="231">
        <f>SUM(D25:M25)</f>
        <v>206283</v>
      </c>
      <c r="D25" s="232">
        <v>92224</v>
      </c>
      <c r="E25" s="233">
        <v>0</v>
      </c>
      <c r="F25" s="234">
        <v>50</v>
      </c>
      <c r="G25" s="232">
        <v>700</v>
      </c>
      <c r="H25" s="233">
        <v>0</v>
      </c>
      <c r="I25" s="232">
        <v>1171</v>
      </c>
      <c r="J25" s="233">
        <v>0</v>
      </c>
      <c r="K25" s="232">
        <v>111838</v>
      </c>
      <c r="L25" s="233">
        <v>0</v>
      </c>
      <c r="M25" s="232">
        <v>300</v>
      </c>
      <c r="N25" s="233">
        <v>0</v>
      </c>
      <c r="O25" s="232">
        <v>28275</v>
      </c>
    </row>
    <row r="26" spans="1:15" ht="15" customHeight="1">
      <c r="A26" s="76"/>
      <c r="B26" s="188" t="s">
        <v>219</v>
      </c>
      <c r="C26" s="25"/>
      <c r="D26" s="26"/>
      <c r="E26" s="1"/>
      <c r="F26" s="1"/>
      <c r="G26" s="26"/>
      <c r="H26" s="1"/>
      <c r="I26" s="26"/>
      <c r="J26" s="1"/>
      <c r="K26" s="26"/>
      <c r="L26" s="1"/>
      <c r="M26" s="26"/>
      <c r="N26" s="1"/>
      <c r="O26" s="1"/>
    </row>
    <row r="27" spans="1:15" ht="15" customHeight="1">
      <c r="A27" s="229" t="s">
        <v>438</v>
      </c>
      <c r="B27" s="230" t="s">
        <v>27</v>
      </c>
      <c r="C27" s="231">
        <f>SUM(D27:M27)</f>
        <v>139117</v>
      </c>
      <c r="D27" s="232">
        <v>96846</v>
      </c>
      <c r="E27" s="233">
        <v>0</v>
      </c>
      <c r="F27" s="234">
        <v>200</v>
      </c>
      <c r="G27" s="232">
        <v>1193</v>
      </c>
      <c r="H27" s="233">
        <v>0</v>
      </c>
      <c r="I27" s="232">
        <v>251</v>
      </c>
      <c r="J27" s="233">
        <v>0</v>
      </c>
      <c r="K27" s="232">
        <v>40227</v>
      </c>
      <c r="L27" s="233">
        <v>0</v>
      </c>
      <c r="M27" s="232">
        <v>400</v>
      </c>
      <c r="N27" s="233">
        <v>0</v>
      </c>
      <c r="O27" s="233">
        <v>0</v>
      </c>
    </row>
    <row r="28" spans="1:15" ht="15" customHeight="1">
      <c r="A28" s="229"/>
      <c r="B28" s="224" t="s">
        <v>218</v>
      </c>
      <c r="C28" s="231"/>
      <c r="D28" s="232"/>
      <c r="E28" s="233"/>
      <c r="F28" s="233"/>
      <c r="G28" s="232"/>
      <c r="H28" s="233"/>
      <c r="I28" s="232"/>
      <c r="J28" s="233"/>
      <c r="K28" s="232"/>
      <c r="L28" s="233"/>
      <c r="M28" s="232"/>
      <c r="N28" s="233"/>
      <c r="O28" s="233"/>
    </row>
    <row r="29" spans="1:15" ht="15" customHeight="1">
      <c r="A29" s="228" t="s">
        <v>440</v>
      </c>
      <c r="B29" s="236" t="s">
        <v>4</v>
      </c>
      <c r="C29" s="231">
        <f>SUM(D29:M29)</f>
        <v>171047</v>
      </c>
      <c r="D29" s="232">
        <v>96846</v>
      </c>
      <c r="E29" s="233">
        <v>0</v>
      </c>
      <c r="F29" s="234">
        <v>200</v>
      </c>
      <c r="G29" s="232">
        <v>1193</v>
      </c>
      <c r="H29" s="233">
        <v>0</v>
      </c>
      <c r="I29" s="232">
        <v>251</v>
      </c>
      <c r="J29" s="233">
        <v>0</v>
      </c>
      <c r="K29" s="232">
        <v>72157</v>
      </c>
      <c r="L29" s="233">
        <v>0</v>
      </c>
      <c r="M29" s="232">
        <v>400</v>
      </c>
      <c r="N29" s="233">
        <v>0</v>
      </c>
      <c r="O29" s="232">
        <v>49835</v>
      </c>
    </row>
    <row r="30" spans="1:15" ht="15" customHeight="1">
      <c r="A30" s="76"/>
      <c r="B30" s="188" t="s">
        <v>219</v>
      </c>
      <c r="C30" s="25"/>
      <c r="D30" s="26"/>
      <c r="E30" s="1"/>
      <c r="F30" s="1"/>
      <c r="G30" s="26"/>
      <c r="H30" s="1"/>
      <c r="I30" s="26"/>
      <c r="J30" s="1"/>
      <c r="K30" s="26"/>
      <c r="L30" s="1"/>
      <c r="M30" s="26"/>
      <c r="N30" s="1"/>
      <c r="O30" s="1"/>
    </row>
    <row r="31" spans="1:15" s="235" customFormat="1" ht="15" customHeight="1">
      <c r="A31" s="229" t="s">
        <v>463</v>
      </c>
      <c r="B31" s="230" t="s">
        <v>27</v>
      </c>
      <c r="C31" s="231">
        <f>SUM(D31:M31)</f>
        <v>145732</v>
      </c>
      <c r="D31" s="232">
        <v>98301</v>
      </c>
      <c r="E31" s="233">
        <v>0</v>
      </c>
      <c r="F31" s="234">
        <v>50</v>
      </c>
      <c r="G31" s="232">
        <v>1623</v>
      </c>
      <c r="H31" s="233">
        <v>0</v>
      </c>
      <c r="I31" s="232">
        <v>263</v>
      </c>
      <c r="J31" s="233">
        <v>0</v>
      </c>
      <c r="K31" s="232">
        <v>45095</v>
      </c>
      <c r="L31" s="233">
        <v>0</v>
      </c>
      <c r="M31" s="232">
        <v>400</v>
      </c>
      <c r="N31" s="233">
        <v>0</v>
      </c>
      <c r="O31" s="233">
        <v>0</v>
      </c>
    </row>
    <row r="32" spans="1:15" ht="15" customHeight="1">
      <c r="A32" s="229"/>
      <c r="B32" s="224" t="s">
        <v>218</v>
      </c>
      <c r="C32" s="231"/>
      <c r="D32" s="232"/>
      <c r="E32" s="233"/>
      <c r="F32" s="233"/>
      <c r="G32" s="232"/>
      <c r="H32" s="233"/>
      <c r="I32" s="232"/>
      <c r="J32" s="233"/>
      <c r="K32" s="232"/>
      <c r="L32" s="233"/>
      <c r="M32" s="232"/>
      <c r="N32" s="233"/>
      <c r="O32" s="233"/>
    </row>
    <row r="33" spans="1:15" ht="15" customHeight="1">
      <c r="A33" s="228" t="s">
        <v>464</v>
      </c>
      <c r="B33" s="236" t="s">
        <v>4</v>
      </c>
      <c r="C33" s="231">
        <f>SUM(D33:M33)</f>
        <v>227661</v>
      </c>
      <c r="D33" s="232">
        <v>98301</v>
      </c>
      <c r="E33" s="233">
        <v>0</v>
      </c>
      <c r="F33" s="234">
        <v>50</v>
      </c>
      <c r="G33" s="232">
        <v>1623</v>
      </c>
      <c r="H33" s="233">
        <v>0</v>
      </c>
      <c r="I33" s="232">
        <v>263</v>
      </c>
      <c r="J33" s="233">
        <v>0</v>
      </c>
      <c r="K33" s="232">
        <v>127024</v>
      </c>
      <c r="L33" s="233">
        <v>0</v>
      </c>
      <c r="M33" s="232">
        <v>400</v>
      </c>
      <c r="N33" s="233">
        <v>0</v>
      </c>
      <c r="O33" s="232">
        <v>81098</v>
      </c>
    </row>
    <row r="34" spans="1:15" ht="15" customHeight="1">
      <c r="A34" s="76"/>
      <c r="B34" s="188" t="s">
        <v>219</v>
      </c>
      <c r="C34" s="25"/>
      <c r="D34" s="26"/>
      <c r="E34" s="1"/>
      <c r="F34" s="1"/>
      <c r="G34" s="26"/>
      <c r="H34" s="1"/>
      <c r="I34" s="26"/>
      <c r="J34" s="1"/>
      <c r="K34" s="26"/>
      <c r="L34" s="1"/>
      <c r="M34" s="26"/>
      <c r="N34" s="1"/>
      <c r="O34" s="1"/>
    </row>
    <row r="35" spans="1:15" s="235" customFormat="1" ht="15" customHeight="1">
      <c r="A35" s="229" t="s">
        <v>470</v>
      </c>
      <c r="B35" s="230" t="s">
        <v>27</v>
      </c>
      <c r="C35" s="231">
        <f>SUM(D35:M35)</f>
        <v>151424</v>
      </c>
      <c r="D35" s="232">
        <v>111033</v>
      </c>
      <c r="E35" s="233">
        <v>0</v>
      </c>
      <c r="F35" s="234">
        <v>50</v>
      </c>
      <c r="G35" s="232">
        <v>479</v>
      </c>
      <c r="H35" s="233">
        <v>0</v>
      </c>
      <c r="I35" s="232">
        <v>263</v>
      </c>
      <c r="J35" s="233">
        <v>0</v>
      </c>
      <c r="K35" s="232">
        <v>39049</v>
      </c>
      <c r="L35" s="233">
        <v>0</v>
      </c>
      <c r="M35" s="232">
        <v>550</v>
      </c>
      <c r="N35" s="233">
        <v>0</v>
      </c>
      <c r="O35" s="233">
        <v>0</v>
      </c>
    </row>
    <row r="36" spans="1:15" ht="15" customHeight="1">
      <c r="A36" s="229"/>
      <c r="B36" s="224" t="s">
        <v>218</v>
      </c>
      <c r="C36" s="231"/>
      <c r="D36" s="232"/>
      <c r="E36" s="233"/>
      <c r="F36" s="233"/>
      <c r="G36" s="232"/>
      <c r="H36" s="233"/>
      <c r="I36" s="232"/>
      <c r="J36" s="233"/>
      <c r="K36" s="232"/>
      <c r="L36" s="233"/>
      <c r="M36" s="232"/>
      <c r="N36" s="233"/>
      <c r="O36" s="233"/>
    </row>
    <row r="37" spans="1:15" ht="15" customHeight="1">
      <c r="A37" s="228" t="s">
        <v>471</v>
      </c>
      <c r="B37" s="236" t="s">
        <v>4</v>
      </c>
      <c r="C37" s="231">
        <f>SUM(D37:M37)</f>
        <v>184499</v>
      </c>
      <c r="D37" s="232">
        <v>111033</v>
      </c>
      <c r="E37" s="233">
        <v>0</v>
      </c>
      <c r="F37" s="234">
        <v>50</v>
      </c>
      <c r="G37" s="232">
        <v>479</v>
      </c>
      <c r="H37" s="233">
        <v>0</v>
      </c>
      <c r="I37" s="232">
        <v>263</v>
      </c>
      <c r="J37" s="233">
        <v>0</v>
      </c>
      <c r="K37" s="232">
        <v>72124</v>
      </c>
      <c r="L37" s="233">
        <v>0</v>
      </c>
      <c r="M37" s="232">
        <v>550</v>
      </c>
      <c r="N37" s="233">
        <v>0</v>
      </c>
      <c r="O37" s="232">
        <v>29399</v>
      </c>
    </row>
    <row r="38" spans="1:15" ht="15" customHeight="1">
      <c r="A38" s="76"/>
      <c r="B38" s="188" t="s">
        <v>219</v>
      </c>
      <c r="C38" s="25"/>
      <c r="D38" s="26"/>
      <c r="E38" s="1"/>
      <c r="F38" s="1"/>
      <c r="G38" s="26"/>
      <c r="H38" s="1"/>
      <c r="I38" s="26"/>
      <c r="J38" s="1"/>
      <c r="K38" s="26"/>
      <c r="L38" s="1"/>
      <c r="M38" s="26"/>
      <c r="N38" s="1"/>
      <c r="O38" s="1"/>
    </row>
    <row r="39" spans="1:15" s="235" customFormat="1" ht="15" customHeight="1">
      <c r="A39" s="229" t="s">
        <v>504</v>
      </c>
      <c r="B39" s="230" t="s">
        <v>27</v>
      </c>
      <c r="C39" s="231">
        <f>SUM(D39:M39)</f>
        <v>169926</v>
      </c>
      <c r="D39" s="232">
        <v>118424</v>
      </c>
      <c r="E39" s="233">
        <v>0</v>
      </c>
      <c r="F39" s="234">
        <v>50</v>
      </c>
      <c r="G39" s="232">
        <v>529</v>
      </c>
      <c r="H39" s="233">
        <v>0</v>
      </c>
      <c r="I39" s="232">
        <v>263</v>
      </c>
      <c r="J39" s="233">
        <v>0</v>
      </c>
      <c r="K39" s="232">
        <v>49903</v>
      </c>
      <c r="L39" s="233">
        <v>0</v>
      </c>
      <c r="M39" s="232">
        <v>757</v>
      </c>
      <c r="N39" s="233">
        <v>0</v>
      </c>
      <c r="O39" s="233">
        <v>0</v>
      </c>
    </row>
    <row r="40" spans="1:15" ht="15" customHeight="1">
      <c r="A40" s="229"/>
      <c r="B40" s="224" t="s">
        <v>218</v>
      </c>
      <c r="C40" s="231"/>
      <c r="D40" s="232"/>
      <c r="E40" s="233"/>
      <c r="F40" s="233"/>
      <c r="G40" s="232"/>
      <c r="H40" s="233"/>
      <c r="I40" s="232"/>
      <c r="J40" s="233"/>
      <c r="K40" s="232"/>
      <c r="L40" s="233"/>
      <c r="M40" s="232"/>
      <c r="N40" s="233"/>
      <c r="O40" s="233"/>
    </row>
    <row r="41" spans="1:15" ht="15" customHeight="1">
      <c r="A41" s="228" t="s">
        <v>498</v>
      </c>
      <c r="B41" s="236" t="s">
        <v>4</v>
      </c>
      <c r="C41" s="231">
        <f>SUM(D41:M41)</f>
        <v>218006</v>
      </c>
      <c r="D41" s="232">
        <v>118424</v>
      </c>
      <c r="E41" s="233">
        <v>0</v>
      </c>
      <c r="F41" s="234">
        <v>50</v>
      </c>
      <c r="G41" s="232">
        <v>529</v>
      </c>
      <c r="H41" s="233">
        <v>0</v>
      </c>
      <c r="I41" s="232">
        <v>263</v>
      </c>
      <c r="J41" s="233">
        <v>0</v>
      </c>
      <c r="K41" s="232">
        <v>95733</v>
      </c>
      <c r="L41" s="233">
        <v>0</v>
      </c>
      <c r="M41" s="232">
        <v>3007</v>
      </c>
      <c r="N41" s="233">
        <v>0</v>
      </c>
      <c r="O41" s="232">
        <v>15748</v>
      </c>
    </row>
    <row r="42" spans="1:15" ht="15" customHeight="1">
      <c r="A42" s="76"/>
      <c r="B42" s="188" t="s">
        <v>219</v>
      </c>
      <c r="C42" s="25"/>
      <c r="D42" s="26"/>
      <c r="E42" s="1"/>
      <c r="F42" s="1"/>
      <c r="G42" s="26"/>
      <c r="H42" s="1"/>
      <c r="I42" s="26"/>
      <c r="J42" s="1"/>
      <c r="K42" s="26"/>
      <c r="L42" s="1"/>
      <c r="M42" s="26"/>
      <c r="N42" s="1"/>
      <c r="O42" s="1"/>
    </row>
    <row r="43" spans="1:15" s="235" customFormat="1" ht="15" customHeight="1">
      <c r="A43" s="229" t="s">
        <v>505</v>
      </c>
      <c r="B43" s="230" t="s">
        <v>27</v>
      </c>
      <c r="C43" s="231">
        <f>SUM(D43:M43)</f>
        <v>211588</v>
      </c>
      <c r="D43" s="232">
        <v>122398</v>
      </c>
      <c r="E43" s="233">
        <v>0</v>
      </c>
      <c r="F43" s="234">
        <v>50</v>
      </c>
      <c r="G43" s="232">
        <v>503</v>
      </c>
      <c r="H43" s="233">
        <v>0</v>
      </c>
      <c r="I43" s="232">
        <v>263</v>
      </c>
      <c r="J43" s="233">
        <v>0</v>
      </c>
      <c r="K43" s="232">
        <v>84617</v>
      </c>
      <c r="L43" s="233">
        <v>0</v>
      </c>
      <c r="M43" s="232">
        <v>3757</v>
      </c>
      <c r="N43" s="233">
        <v>0</v>
      </c>
      <c r="O43" s="233">
        <v>0</v>
      </c>
    </row>
    <row r="44" spans="1:15" ht="15" customHeight="1">
      <c r="A44" s="229"/>
      <c r="B44" s="224" t="s">
        <v>218</v>
      </c>
      <c r="C44" s="231"/>
      <c r="D44" s="232"/>
      <c r="E44" s="233"/>
      <c r="F44" s="233"/>
      <c r="G44" s="232"/>
      <c r="H44" s="233"/>
      <c r="I44" s="232"/>
      <c r="J44" s="233"/>
      <c r="K44" s="232"/>
      <c r="L44" s="233"/>
      <c r="M44" s="232"/>
      <c r="N44" s="233"/>
      <c r="O44" s="233"/>
    </row>
    <row r="45" spans="1:15" ht="15" customHeight="1">
      <c r="A45" s="228" t="s">
        <v>498</v>
      </c>
      <c r="B45" s="236" t="s">
        <v>4</v>
      </c>
      <c r="C45" s="231">
        <f>SUM(D45:M45)</f>
        <v>341463</v>
      </c>
      <c r="D45" s="232">
        <v>122398</v>
      </c>
      <c r="E45" s="233">
        <v>0</v>
      </c>
      <c r="F45" s="234">
        <v>50</v>
      </c>
      <c r="G45" s="232">
        <v>503</v>
      </c>
      <c r="H45" s="233">
        <v>0</v>
      </c>
      <c r="I45" s="232">
        <v>263</v>
      </c>
      <c r="J45" s="233">
        <v>0</v>
      </c>
      <c r="K45" s="232">
        <v>214492</v>
      </c>
      <c r="L45" s="233">
        <v>0</v>
      </c>
      <c r="M45" s="232">
        <v>3757</v>
      </c>
      <c r="N45" s="233">
        <v>0</v>
      </c>
      <c r="O45" s="232">
        <v>24127</v>
      </c>
    </row>
    <row r="46" spans="1:15" ht="15" customHeight="1">
      <c r="A46" s="76"/>
      <c r="B46" s="188" t="s">
        <v>219</v>
      </c>
      <c r="C46" s="25"/>
      <c r="D46" s="26"/>
      <c r="E46" s="1"/>
      <c r="F46" s="1"/>
      <c r="G46" s="26"/>
      <c r="H46" s="1"/>
      <c r="I46" s="26"/>
      <c r="J46" s="1"/>
      <c r="K46" s="26"/>
      <c r="L46" s="1"/>
      <c r="M46" s="26"/>
      <c r="N46" s="1"/>
      <c r="O46" s="1"/>
    </row>
    <row r="47" spans="1:15" s="235" customFormat="1" ht="15" customHeight="1">
      <c r="A47" s="229" t="s">
        <v>514</v>
      </c>
      <c r="B47" s="230" t="s">
        <v>27</v>
      </c>
      <c r="C47" s="231">
        <f>SUM(D47:M47)</f>
        <v>193996</v>
      </c>
      <c r="D47" s="232">
        <v>126952</v>
      </c>
      <c r="E47" s="233">
        <v>0</v>
      </c>
      <c r="F47" s="234">
        <v>50</v>
      </c>
      <c r="G47" s="232">
        <v>378</v>
      </c>
      <c r="H47" s="233">
        <v>0</v>
      </c>
      <c r="I47" s="232">
        <v>277</v>
      </c>
      <c r="J47" s="233">
        <v>0</v>
      </c>
      <c r="K47" s="232">
        <v>63089</v>
      </c>
      <c r="L47" s="233">
        <v>0</v>
      </c>
      <c r="M47" s="232">
        <v>3250</v>
      </c>
      <c r="N47" s="233">
        <v>0</v>
      </c>
      <c r="O47" s="233">
        <v>0</v>
      </c>
    </row>
    <row r="48" spans="1:15" ht="15" customHeight="1">
      <c r="A48" s="229"/>
      <c r="B48" s="224" t="s">
        <v>218</v>
      </c>
      <c r="C48" s="231"/>
      <c r="D48" s="232"/>
      <c r="E48" s="233"/>
      <c r="F48" s="233"/>
      <c r="G48" s="232"/>
      <c r="H48" s="233"/>
      <c r="I48" s="232"/>
      <c r="J48" s="233"/>
      <c r="K48" s="232"/>
      <c r="L48" s="233"/>
      <c r="M48" s="232"/>
      <c r="N48" s="233"/>
      <c r="O48" s="233"/>
    </row>
    <row r="49" spans="1:15" ht="15" customHeight="1">
      <c r="A49" s="228" t="s">
        <v>515</v>
      </c>
      <c r="B49" s="236" t="s">
        <v>4</v>
      </c>
      <c r="C49" s="231">
        <f>SUM(D49:M49)</f>
        <v>274908</v>
      </c>
      <c r="D49" s="232">
        <v>140437</v>
      </c>
      <c r="E49" s="233">
        <v>0</v>
      </c>
      <c r="F49" s="234">
        <v>50</v>
      </c>
      <c r="G49" s="232">
        <v>378</v>
      </c>
      <c r="H49" s="233">
        <v>0</v>
      </c>
      <c r="I49" s="232">
        <v>277</v>
      </c>
      <c r="J49" s="233">
        <v>0</v>
      </c>
      <c r="K49" s="232">
        <v>130516</v>
      </c>
      <c r="L49" s="233">
        <v>0</v>
      </c>
      <c r="M49" s="232">
        <v>3250</v>
      </c>
      <c r="N49" s="233">
        <v>0</v>
      </c>
      <c r="O49" s="232">
        <v>40844</v>
      </c>
    </row>
    <row r="50" spans="1:15" ht="15" customHeight="1">
      <c r="A50" s="76"/>
      <c r="B50" s="188" t="s">
        <v>219</v>
      </c>
      <c r="C50" s="25"/>
      <c r="D50" s="26"/>
      <c r="E50" s="1"/>
      <c r="F50" s="1"/>
      <c r="G50" s="26"/>
      <c r="H50" s="1"/>
      <c r="I50" s="26"/>
      <c r="J50" s="1"/>
      <c r="K50" s="26"/>
      <c r="L50" s="1"/>
      <c r="M50" s="26"/>
      <c r="N50" s="1"/>
      <c r="O50" s="1"/>
    </row>
    <row r="51" spans="1:15" s="235" customFormat="1" ht="15" customHeight="1">
      <c r="A51" s="229" t="s">
        <v>518</v>
      </c>
      <c r="B51" s="230" t="s">
        <v>27</v>
      </c>
      <c r="C51" s="231">
        <f>SUM(D51:M51)</f>
        <v>187905</v>
      </c>
      <c r="D51" s="232">
        <v>132435</v>
      </c>
      <c r="E51" s="233">
        <v>0</v>
      </c>
      <c r="F51" s="234">
        <v>350</v>
      </c>
      <c r="G51" s="232">
        <v>553</v>
      </c>
      <c r="H51" s="233">
        <v>0</v>
      </c>
      <c r="I51" s="232">
        <v>280</v>
      </c>
      <c r="J51" s="233">
        <v>0</v>
      </c>
      <c r="K51" s="232">
        <v>51837</v>
      </c>
      <c r="L51" s="233">
        <v>0</v>
      </c>
      <c r="M51" s="232">
        <v>2450</v>
      </c>
      <c r="N51" s="233">
        <v>0</v>
      </c>
      <c r="O51" s="233">
        <v>0</v>
      </c>
    </row>
    <row r="52" spans="1:15" ht="15" customHeight="1">
      <c r="A52" s="229"/>
      <c r="B52" s="224" t="s">
        <v>218</v>
      </c>
      <c r="C52" s="231"/>
      <c r="D52" s="232"/>
      <c r="E52" s="233"/>
      <c r="F52" s="233"/>
      <c r="G52" s="232"/>
      <c r="H52" s="233"/>
      <c r="I52" s="232"/>
      <c r="J52" s="233"/>
      <c r="K52" s="232"/>
      <c r="L52" s="233"/>
      <c r="M52" s="232"/>
      <c r="N52" s="233"/>
      <c r="O52" s="233"/>
    </row>
    <row r="53" spans="1:15" ht="15" customHeight="1">
      <c r="A53" s="228" t="s">
        <v>519</v>
      </c>
      <c r="B53" s="236" t="s">
        <v>4</v>
      </c>
      <c r="C53" s="231">
        <f>SUM(D53:M53)</f>
        <v>333483</v>
      </c>
      <c r="D53" s="232">
        <v>132435</v>
      </c>
      <c r="E53" s="233">
        <v>0</v>
      </c>
      <c r="F53" s="234">
        <v>350</v>
      </c>
      <c r="G53" s="232">
        <v>553</v>
      </c>
      <c r="H53" s="233">
        <v>0</v>
      </c>
      <c r="I53" s="232">
        <v>280</v>
      </c>
      <c r="J53" s="233">
        <v>0</v>
      </c>
      <c r="K53" s="232">
        <v>197415</v>
      </c>
      <c r="L53" s="233">
        <v>0</v>
      </c>
      <c r="M53" s="232">
        <v>2450</v>
      </c>
      <c r="N53" s="233">
        <v>0</v>
      </c>
      <c r="O53" s="232">
        <v>18976</v>
      </c>
    </row>
    <row r="54" spans="1:15" ht="15" customHeight="1">
      <c r="A54" s="76"/>
      <c r="B54" s="188" t="s">
        <v>219</v>
      </c>
      <c r="C54" s="25"/>
      <c r="D54" s="26"/>
      <c r="E54" s="1"/>
      <c r="F54" s="1"/>
      <c r="G54" s="26"/>
      <c r="H54" s="1"/>
      <c r="I54" s="26"/>
      <c r="J54" s="1"/>
      <c r="K54" s="26"/>
      <c r="L54" s="1"/>
      <c r="M54" s="26"/>
      <c r="N54" s="1"/>
      <c r="O54" s="1"/>
    </row>
    <row r="55" spans="1:15" ht="8.25" customHeight="1" thickBot="1">
      <c r="A55" s="93"/>
      <c r="B55" s="94"/>
      <c r="C55" s="34"/>
      <c r="D55" s="35"/>
      <c r="E55" s="2"/>
      <c r="F55" s="35"/>
      <c r="G55" s="35"/>
      <c r="H55" s="2"/>
      <c r="I55" s="35"/>
      <c r="J55" s="2"/>
      <c r="K55" s="35"/>
      <c r="L55" s="2"/>
      <c r="M55" s="35"/>
      <c r="N55" s="2"/>
      <c r="O55" s="2"/>
    </row>
    <row r="56" spans="1:14" ht="15.75">
      <c r="A56" s="99" t="s">
        <v>456</v>
      </c>
      <c r="B56" s="95"/>
      <c r="C56" s="96"/>
      <c r="D56" s="97"/>
      <c r="E56" s="97"/>
      <c r="F56" s="97"/>
      <c r="G56" s="97"/>
      <c r="H56" s="98"/>
      <c r="I56" s="97"/>
      <c r="J56" s="97"/>
      <c r="K56" s="97"/>
      <c r="L56" s="97"/>
      <c r="M56" s="97"/>
      <c r="N56" s="97"/>
    </row>
    <row r="57" spans="1:2" ht="16.5" customHeight="1">
      <c r="A57" s="254" t="s">
        <v>457</v>
      </c>
      <c r="B57" s="95"/>
    </row>
    <row r="59" spans="1:2" ht="15.75">
      <c r="A59" s="101"/>
      <c r="B59" s="102"/>
    </row>
  </sheetData>
  <sheetProtection/>
  <mergeCells count="1">
    <mergeCell ref="N1:O1"/>
  </mergeCells>
  <printOptions/>
  <pageMargins left="0.7480314960629921" right="0.7480314960629921" top="0.5905511811023623" bottom="0.6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pane ySplit="6" topLeftCell="A24" activePane="bottomLeft" state="frozen"/>
      <selection pane="topLeft" activeCell="A1" sqref="A1"/>
      <selection pane="bottomLeft" activeCell="M29" sqref="M29"/>
    </sheetView>
  </sheetViews>
  <sheetFormatPr defaultColWidth="9.00390625" defaultRowHeight="16.5"/>
  <cols>
    <col min="1" max="1" width="14.375" style="65" customWidth="1"/>
    <col min="2" max="2" width="7.625" style="65" customWidth="1"/>
    <col min="3" max="4" width="11.625" style="65" customWidth="1"/>
    <col min="5" max="5" width="12.125" style="65" customWidth="1"/>
    <col min="6" max="6" width="12.75390625" style="65" customWidth="1"/>
    <col min="7" max="7" width="11.625" style="65" customWidth="1"/>
    <col min="8" max="8" width="9.625" style="65" customWidth="1"/>
    <col min="9" max="10" width="11.625" style="65" customWidth="1"/>
    <col min="11" max="11" width="12.125" style="65" customWidth="1"/>
    <col min="12" max="12" width="12.00390625" style="65" customWidth="1"/>
    <col min="13" max="13" width="9.00390625" style="65" customWidth="1"/>
    <col min="14" max="14" width="8.875" style="65" customWidth="1"/>
    <col min="15" max="15" width="9.25390625" style="65" customWidth="1"/>
    <col min="16" max="16384" width="9.00390625" style="65" customWidth="1"/>
  </cols>
  <sheetData>
    <row r="1" spans="1:16" s="27" customFormat="1" ht="15.75">
      <c r="A1" s="3" t="s">
        <v>482</v>
      </c>
      <c r="B1" s="3"/>
      <c r="C1" s="78"/>
      <c r="D1" s="39"/>
      <c r="E1" s="39"/>
      <c r="F1" s="39"/>
      <c r="G1" s="39"/>
      <c r="H1" s="39"/>
      <c r="I1" s="79"/>
      <c r="J1" s="39"/>
      <c r="K1" s="39"/>
      <c r="L1" s="39"/>
      <c r="M1" s="39"/>
      <c r="N1" s="80"/>
      <c r="O1" s="4" t="s">
        <v>450</v>
      </c>
      <c r="P1" s="4"/>
    </row>
    <row r="2" spans="1:15" ht="30" customHeight="1">
      <c r="A2" s="81" t="s">
        <v>480</v>
      </c>
      <c r="B2" s="81"/>
      <c r="C2" s="82"/>
      <c r="D2" s="82"/>
      <c r="E2" s="82"/>
      <c r="F2" s="82"/>
      <c r="G2" s="82"/>
      <c r="H2" s="194" t="s">
        <v>481</v>
      </c>
      <c r="I2" s="102"/>
      <c r="J2" s="82"/>
      <c r="K2" s="82"/>
      <c r="L2" s="82"/>
      <c r="M2" s="82"/>
      <c r="N2" s="82"/>
      <c r="O2" s="102"/>
    </row>
    <row r="3" spans="1:15" ht="18" customHeight="1">
      <c r="A3" s="86" t="s">
        <v>230</v>
      </c>
      <c r="B3" s="86"/>
      <c r="C3" s="82"/>
      <c r="D3" s="82"/>
      <c r="E3" s="82"/>
      <c r="F3" s="82"/>
      <c r="G3" s="82"/>
      <c r="H3" s="86" t="s">
        <v>229</v>
      </c>
      <c r="I3" s="102"/>
      <c r="J3" s="82"/>
      <c r="K3" s="82"/>
      <c r="L3" s="82"/>
      <c r="M3" s="82"/>
      <c r="N3" s="82"/>
      <c r="O3" s="102"/>
    </row>
    <row r="4" spans="1:15" ht="15" customHeight="1" thickBot="1">
      <c r="A4" s="72" t="s">
        <v>227</v>
      </c>
      <c r="B4" s="72"/>
      <c r="C4" s="74"/>
      <c r="D4" s="74"/>
      <c r="E4" s="74"/>
      <c r="F4" s="74"/>
      <c r="G4" s="74"/>
      <c r="H4" s="72"/>
      <c r="I4" s="74"/>
      <c r="J4" s="74"/>
      <c r="K4" s="74"/>
      <c r="L4" s="74"/>
      <c r="M4" s="74"/>
      <c r="N4" s="103"/>
      <c r="O4" s="193" t="s">
        <v>228</v>
      </c>
    </row>
    <row r="5" spans="1:15" ht="25.5" customHeight="1">
      <c r="A5" s="328" t="s">
        <v>220</v>
      </c>
      <c r="B5" s="342"/>
      <c r="C5" s="150" t="s">
        <v>195</v>
      </c>
      <c r="D5" s="150" t="s">
        <v>221</v>
      </c>
      <c r="E5" s="150" t="s">
        <v>197</v>
      </c>
      <c r="F5" s="150" t="s">
        <v>198</v>
      </c>
      <c r="G5" s="150" t="s">
        <v>199</v>
      </c>
      <c r="H5" s="159" t="s">
        <v>200</v>
      </c>
      <c r="I5" s="150" t="s">
        <v>222</v>
      </c>
      <c r="J5" s="150" t="s">
        <v>55</v>
      </c>
      <c r="K5" s="150" t="s">
        <v>202</v>
      </c>
      <c r="L5" s="150" t="s">
        <v>203</v>
      </c>
      <c r="M5" s="150" t="s">
        <v>32</v>
      </c>
      <c r="N5" s="150" t="s">
        <v>30</v>
      </c>
      <c r="O5" s="126" t="s">
        <v>226</v>
      </c>
    </row>
    <row r="6" spans="1:15" ht="45" customHeight="1" thickBot="1">
      <c r="A6" s="345" t="s">
        <v>223</v>
      </c>
      <c r="B6" s="346"/>
      <c r="C6" s="191" t="s">
        <v>206</v>
      </c>
      <c r="D6" s="192" t="s">
        <v>207</v>
      </c>
      <c r="E6" s="192" t="s">
        <v>208</v>
      </c>
      <c r="F6" s="192" t="s">
        <v>209</v>
      </c>
      <c r="G6" s="191" t="s">
        <v>210</v>
      </c>
      <c r="H6" s="189"/>
      <c r="I6" s="192" t="s">
        <v>224</v>
      </c>
      <c r="J6" s="192" t="s">
        <v>212</v>
      </c>
      <c r="K6" s="192" t="s">
        <v>213</v>
      </c>
      <c r="L6" s="192" t="s">
        <v>225</v>
      </c>
      <c r="M6" s="192" t="s">
        <v>186</v>
      </c>
      <c r="N6" s="189"/>
      <c r="O6" s="190"/>
    </row>
    <row r="7" spans="1:15" ht="33.75" customHeight="1" hidden="1">
      <c r="A7" s="104" t="s">
        <v>423</v>
      </c>
      <c r="B7" s="245" t="s">
        <v>325</v>
      </c>
      <c r="C7" s="66">
        <f aca="true" t="shared" si="0" ref="C7:C12">SUM(D7:O7)</f>
        <v>124469</v>
      </c>
      <c r="D7" s="66">
        <v>4602</v>
      </c>
      <c r="E7" s="66">
        <v>0</v>
      </c>
      <c r="F7" s="66">
        <v>0</v>
      </c>
      <c r="G7" s="66">
        <v>603</v>
      </c>
      <c r="H7" s="66">
        <v>0</v>
      </c>
      <c r="I7" s="66">
        <v>1514</v>
      </c>
      <c r="J7" s="66">
        <v>0</v>
      </c>
      <c r="K7" s="66">
        <v>117250</v>
      </c>
      <c r="L7" s="66">
        <v>0</v>
      </c>
      <c r="M7" s="66">
        <v>500</v>
      </c>
      <c r="N7" s="66">
        <v>0</v>
      </c>
      <c r="O7" s="66">
        <v>0</v>
      </c>
    </row>
    <row r="8" spans="1:15" ht="33.75" customHeight="1" hidden="1">
      <c r="A8" s="104" t="s">
        <v>363</v>
      </c>
      <c r="B8" s="246" t="s">
        <v>326</v>
      </c>
      <c r="C8" s="66">
        <f t="shared" si="0"/>
        <v>153549</v>
      </c>
      <c r="D8" s="66">
        <v>5322</v>
      </c>
      <c r="E8" s="66">
        <v>0</v>
      </c>
      <c r="F8" s="66">
        <v>1482</v>
      </c>
      <c r="G8" s="66">
        <v>376</v>
      </c>
      <c r="H8" s="66">
        <v>0</v>
      </c>
      <c r="I8" s="66">
        <v>1540</v>
      </c>
      <c r="J8" s="66">
        <v>0</v>
      </c>
      <c r="K8" s="66">
        <v>142893</v>
      </c>
      <c r="L8" s="66">
        <v>0</v>
      </c>
      <c r="M8" s="66">
        <v>1936</v>
      </c>
      <c r="N8" s="66">
        <v>0</v>
      </c>
      <c r="O8" s="66">
        <v>0</v>
      </c>
    </row>
    <row r="9" spans="1:15" ht="39.75" customHeight="1" hidden="1">
      <c r="A9" s="106" t="s">
        <v>338</v>
      </c>
      <c r="B9" s="214" t="s">
        <v>339</v>
      </c>
      <c r="C9" s="105">
        <f t="shared" si="0"/>
        <v>151244</v>
      </c>
      <c r="D9" s="66">
        <v>72980</v>
      </c>
      <c r="E9" s="66">
        <v>0</v>
      </c>
      <c r="F9" s="66">
        <v>775</v>
      </c>
      <c r="G9" s="66">
        <v>725</v>
      </c>
      <c r="H9" s="66">
        <v>0</v>
      </c>
      <c r="I9" s="66">
        <v>1949</v>
      </c>
      <c r="J9" s="66">
        <v>0</v>
      </c>
      <c r="K9" s="66">
        <v>72701</v>
      </c>
      <c r="L9" s="66">
        <v>0</v>
      </c>
      <c r="M9" s="66">
        <v>2114</v>
      </c>
      <c r="N9" s="66">
        <v>0</v>
      </c>
      <c r="O9" s="66">
        <v>0</v>
      </c>
    </row>
    <row r="10" spans="1:15" ht="33.75" customHeight="1" hidden="1">
      <c r="A10" s="104" t="s">
        <v>340</v>
      </c>
      <c r="B10" s="213" t="s">
        <v>341</v>
      </c>
      <c r="C10" s="105">
        <f t="shared" si="0"/>
        <v>71677</v>
      </c>
      <c r="D10" s="66">
        <v>48596</v>
      </c>
      <c r="E10" s="66">
        <v>0</v>
      </c>
      <c r="F10" s="66">
        <v>650</v>
      </c>
      <c r="G10" s="66">
        <v>526</v>
      </c>
      <c r="H10" s="66">
        <v>0</v>
      </c>
      <c r="I10" s="66">
        <v>1365</v>
      </c>
      <c r="J10" s="66">
        <v>0</v>
      </c>
      <c r="K10" s="66">
        <v>18361</v>
      </c>
      <c r="L10" s="66">
        <v>0</v>
      </c>
      <c r="M10" s="66">
        <v>2179</v>
      </c>
      <c r="N10" s="66">
        <v>0</v>
      </c>
      <c r="O10" s="66">
        <v>0</v>
      </c>
    </row>
    <row r="11" spans="1:15" ht="33.75" customHeight="1" hidden="1">
      <c r="A11" s="104" t="s">
        <v>342</v>
      </c>
      <c r="B11" s="213" t="s">
        <v>343</v>
      </c>
      <c r="C11" s="105">
        <f t="shared" si="0"/>
        <v>118795</v>
      </c>
      <c r="D11" s="66">
        <v>59858</v>
      </c>
      <c r="E11" s="66">
        <v>0</v>
      </c>
      <c r="F11" s="66">
        <v>127</v>
      </c>
      <c r="G11" s="66">
        <v>615</v>
      </c>
      <c r="H11" s="66">
        <v>0</v>
      </c>
      <c r="I11" s="66">
        <v>1219</v>
      </c>
      <c r="J11" s="66">
        <v>0</v>
      </c>
      <c r="K11" s="66">
        <v>56204</v>
      </c>
      <c r="L11" s="66">
        <v>0</v>
      </c>
      <c r="M11" s="66">
        <v>772</v>
      </c>
      <c r="N11" s="66">
        <v>0</v>
      </c>
      <c r="O11" s="66">
        <v>0</v>
      </c>
    </row>
    <row r="12" spans="1:15" ht="33.75" customHeight="1">
      <c r="A12" s="104" t="s">
        <v>344</v>
      </c>
      <c r="B12" s="213" t="s">
        <v>345</v>
      </c>
      <c r="C12" s="105">
        <f t="shared" si="0"/>
        <v>170333</v>
      </c>
      <c r="D12" s="66">
        <v>70939</v>
      </c>
      <c r="E12" s="66">
        <v>0</v>
      </c>
      <c r="F12" s="66">
        <v>171</v>
      </c>
      <c r="G12" s="66">
        <v>577</v>
      </c>
      <c r="H12" s="66">
        <v>0</v>
      </c>
      <c r="I12" s="66">
        <v>979</v>
      </c>
      <c r="J12" s="66">
        <v>0</v>
      </c>
      <c r="K12" s="66">
        <v>94256</v>
      </c>
      <c r="L12" s="66">
        <v>0</v>
      </c>
      <c r="M12" s="66">
        <v>3411</v>
      </c>
      <c r="N12" s="66">
        <v>0</v>
      </c>
      <c r="O12" s="65">
        <v>0</v>
      </c>
    </row>
    <row r="13" spans="1:15" ht="33.75" customHeight="1">
      <c r="A13" s="104" t="s">
        <v>346</v>
      </c>
      <c r="B13" s="213" t="s">
        <v>347</v>
      </c>
      <c r="C13" s="105">
        <f aca="true" t="shared" si="1" ref="C13:C18">SUM(D13:O13)</f>
        <v>160027</v>
      </c>
      <c r="D13" s="66">
        <v>77065</v>
      </c>
      <c r="E13" s="66">
        <v>0</v>
      </c>
      <c r="F13" s="66">
        <v>787</v>
      </c>
      <c r="G13" s="66">
        <v>576</v>
      </c>
      <c r="H13" s="66">
        <v>0</v>
      </c>
      <c r="I13" s="66">
        <v>1200</v>
      </c>
      <c r="J13" s="66">
        <v>0</v>
      </c>
      <c r="K13" s="66">
        <v>70991</v>
      </c>
      <c r="L13" s="66">
        <v>0</v>
      </c>
      <c r="M13" s="66">
        <v>9408</v>
      </c>
      <c r="N13" s="66">
        <v>0</v>
      </c>
      <c r="O13" s="65">
        <v>0</v>
      </c>
    </row>
    <row r="14" spans="1:15" ht="33.75" customHeight="1">
      <c r="A14" s="104" t="s">
        <v>337</v>
      </c>
      <c r="B14" s="213" t="s">
        <v>309</v>
      </c>
      <c r="C14" s="105">
        <f t="shared" si="1"/>
        <v>152651</v>
      </c>
      <c r="D14" s="66">
        <v>85284</v>
      </c>
      <c r="E14" s="66">
        <v>0</v>
      </c>
      <c r="F14" s="66">
        <v>154</v>
      </c>
      <c r="G14" s="66">
        <v>555</v>
      </c>
      <c r="H14" s="66">
        <v>0</v>
      </c>
      <c r="I14" s="66">
        <v>946</v>
      </c>
      <c r="J14" s="66">
        <v>0</v>
      </c>
      <c r="K14" s="66">
        <v>56388</v>
      </c>
      <c r="L14" s="66">
        <v>0</v>
      </c>
      <c r="M14" s="66">
        <v>9324</v>
      </c>
      <c r="N14" s="66">
        <v>0</v>
      </c>
      <c r="O14" s="65">
        <v>0</v>
      </c>
    </row>
    <row r="15" spans="1:15" ht="33.75" customHeight="1">
      <c r="A15" s="104" t="s">
        <v>395</v>
      </c>
      <c r="B15" s="213" t="s">
        <v>393</v>
      </c>
      <c r="C15" s="105">
        <f t="shared" si="1"/>
        <v>149408</v>
      </c>
      <c r="D15" s="66">
        <v>86569</v>
      </c>
      <c r="E15" s="66">
        <v>0</v>
      </c>
      <c r="F15" s="66">
        <v>152</v>
      </c>
      <c r="G15" s="66">
        <v>650</v>
      </c>
      <c r="H15" s="66">
        <v>0</v>
      </c>
      <c r="I15" s="66">
        <v>1133</v>
      </c>
      <c r="J15" s="66">
        <v>0</v>
      </c>
      <c r="K15" s="66">
        <v>49926</v>
      </c>
      <c r="L15" s="66">
        <v>756</v>
      </c>
      <c r="M15" s="66">
        <v>10222</v>
      </c>
      <c r="N15" s="66">
        <v>0</v>
      </c>
      <c r="O15" s="65">
        <v>0</v>
      </c>
    </row>
    <row r="16" spans="1:15" ht="33.75" customHeight="1">
      <c r="A16" s="104" t="s">
        <v>401</v>
      </c>
      <c r="B16" s="213" t="s">
        <v>400</v>
      </c>
      <c r="C16" s="105">
        <f t="shared" si="1"/>
        <v>144255</v>
      </c>
      <c r="D16" s="66">
        <v>88546</v>
      </c>
      <c r="E16" s="66">
        <v>0</v>
      </c>
      <c r="F16" s="66">
        <v>869</v>
      </c>
      <c r="G16" s="66">
        <v>1008</v>
      </c>
      <c r="H16" s="66">
        <v>0</v>
      </c>
      <c r="I16" s="66">
        <v>2098</v>
      </c>
      <c r="J16" s="66">
        <v>0</v>
      </c>
      <c r="K16" s="66">
        <v>46506</v>
      </c>
      <c r="L16" s="66">
        <v>0</v>
      </c>
      <c r="M16" s="66">
        <v>5228</v>
      </c>
      <c r="N16" s="66">
        <v>0</v>
      </c>
      <c r="O16" s="65">
        <v>0</v>
      </c>
    </row>
    <row r="17" spans="1:15" ht="33.75" customHeight="1">
      <c r="A17" s="104" t="s">
        <v>402</v>
      </c>
      <c r="B17" s="213" t="s">
        <v>403</v>
      </c>
      <c r="C17" s="105">
        <f t="shared" si="1"/>
        <v>136939</v>
      </c>
      <c r="D17" s="66">
        <v>81260</v>
      </c>
      <c r="E17" s="66">
        <v>0</v>
      </c>
      <c r="F17" s="66">
        <v>102</v>
      </c>
      <c r="G17" s="66">
        <v>2468</v>
      </c>
      <c r="H17" s="66">
        <v>0</v>
      </c>
      <c r="I17" s="66">
        <v>2586</v>
      </c>
      <c r="J17" s="66">
        <v>0</v>
      </c>
      <c r="K17" s="66">
        <v>48526</v>
      </c>
      <c r="L17" s="66">
        <v>0</v>
      </c>
      <c r="M17" s="66">
        <v>1997</v>
      </c>
      <c r="N17" s="66">
        <v>0</v>
      </c>
      <c r="O17" s="65">
        <v>0</v>
      </c>
    </row>
    <row r="18" spans="1:15" ht="33.75" customHeight="1">
      <c r="A18" s="104" t="s">
        <v>407</v>
      </c>
      <c r="B18" s="213" t="s">
        <v>408</v>
      </c>
      <c r="C18" s="105">
        <f t="shared" si="1"/>
        <v>114332.867</v>
      </c>
      <c r="D18" s="66">
        <v>66712.031</v>
      </c>
      <c r="E18" s="66">
        <v>0</v>
      </c>
      <c r="F18" s="66">
        <v>158.298</v>
      </c>
      <c r="G18" s="66">
        <v>2636.02</v>
      </c>
      <c r="H18" s="66">
        <v>0</v>
      </c>
      <c r="I18" s="66">
        <v>1550.31</v>
      </c>
      <c r="J18" s="66">
        <v>0</v>
      </c>
      <c r="K18" s="66">
        <v>42580.855</v>
      </c>
      <c r="L18" s="66">
        <v>600</v>
      </c>
      <c r="M18" s="66">
        <v>95.353</v>
      </c>
      <c r="N18" s="66"/>
      <c r="O18" s="65">
        <v>0</v>
      </c>
    </row>
    <row r="19" spans="1:15" ht="33.75" customHeight="1">
      <c r="A19" s="104" t="s">
        <v>412</v>
      </c>
      <c r="B19" s="213" t="s">
        <v>415</v>
      </c>
      <c r="C19" s="105">
        <f aca="true" t="shared" si="2" ref="C19:C27">SUM(D19:O19)</f>
        <v>210250.81800000003</v>
      </c>
      <c r="D19" s="66">
        <v>76867.565</v>
      </c>
      <c r="E19" s="66">
        <v>0</v>
      </c>
      <c r="F19" s="66">
        <v>207.597</v>
      </c>
      <c r="G19" s="66">
        <v>1235.08</v>
      </c>
      <c r="H19" s="66">
        <v>0</v>
      </c>
      <c r="I19" s="66">
        <v>1191.264</v>
      </c>
      <c r="J19" s="66">
        <v>0</v>
      </c>
      <c r="K19" s="66">
        <v>103794.205</v>
      </c>
      <c r="L19" s="66">
        <v>11160.418</v>
      </c>
      <c r="M19" s="66">
        <v>15794.689</v>
      </c>
      <c r="N19" s="66"/>
      <c r="O19" s="65">
        <v>0</v>
      </c>
    </row>
    <row r="20" spans="1:15" s="227" customFormat="1" ht="33.75" customHeight="1">
      <c r="A20" s="237" t="s">
        <v>421</v>
      </c>
      <c r="B20" s="238" t="s">
        <v>422</v>
      </c>
      <c r="C20" s="239">
        <f t="shared" si="2"/>
        <v>193708.847</v>
      </c>
      <c r="D20" s="67">
        <v>105942.086</v>
      </c>
      <c r="E20" s="67">
        <v>0</v>
      </c>
      <c r="F20" s="67">
        <v>242.781</v>
      </c>
      <c r="G20" s="67">
        <v>2477.13</v>
      </c>
      <c r="H20" s="67"/>
      <c r="I20" s="67">
        <v>862.326</v>
      </c>
      <c r="J20" s="67">
        <v>0</v>
      </c>
      <c r="K20" s="67">
        <v>83737.541</v>
      </c>
      <c r="L20" s="67">
        <v>0</v>
      </c>
      <c r="M20" s="67">
        <v>446.983</v>
      </c>
      <c r="N20" s="67"/>
      <c r="O20" s="227">
        <v>0</v>
      </c>
    </row>
    <row r="21" spans="1:15" ht="33.75" customHeight="1">
      <c r="A21" s="237" t="s">
        <v>436</v>
      </c>
      <c r="B21" s="238" t="s">
        <v>437</v>
      </c>
      <c r="C21" s="239">
        <f t="shared" si="2"/>
        <v>213000.06200000003</v>
      </c>
      <c r="D21" s="67">
        <v>98212.839</v>
      </c>
      <c r="E21" s="67">
        <v>0</v>
      </c>
      <c r="F21" s="67">
        <v>239.319</v>
      </c>
      <c r="G21" s="67">
        <v>1572.034</v>
      </c>
      <c r="H21" s="67"/>
      <c r="I21" s="67">
        <v>982.931</v>
      </c>
      <c r="J21" s="67">
        <v>0</v>
      </c>
      <c r="K21" s="67">
        <v>109822.674</v>
      </c>
      <c r="L21" s="67">
        <v>0</v>
      </c>
      <c r="M21" s="67">
        <v>2170.265</v>
      </c>
      <c r="N21" s="67"/>
      <c r="O21" s="227">
        <v>0</v>
      </c>
    </row>
    <row r="22" spans="1:15" ht="33.75" customHeight="1">
      <c r="A22" s="237" t="s">
        <v>438</v>
      </c>
      <c r="B22" s="238" t="s">
        <v>440</v>
      </c>
      <c r="C22" s="239">
        <f t="shared" si="2"/>
        <v>155749.235</v>
      </c>
      <c r="D22" s="67">
        <v>95937.533</v>
      </c>
      <c r="E22" s="67">
        <v>0</v>
      </c>
      <c r="F22" s="67">
        <v>53.215</v>
      </c>
      <c r="G22" s="67">
        <v>2214.031</v>
      </c>
      <c r="H22" s="67"/>
      <c r="I22" s="67">
        <v>473.372</v>
      </c>
      <c r="J22" s="67">
        <v>0</v>
      </c>
      <c r="K22" s="67">
        <v>53689.969</v>
      </c>
      <c r="L22" s="67">
        <v>0</v>
      </c>
      <c r="M22" s="67">
        <v>3381.115</v>
      </c>
      <c r="N22" s="67"/>
      <c r="O22" s="227">
        <v>0</v>
      </c>
    </row>
    <row r="23" spans="1:15" ht="33.75" customHeight="1">
      <c r="A23" s="237" t="s">
        <v>460</v>
      </c>
      <c r="B23" s="238" t="s">
        <v>461</v>
      </c>
      <c r="C23" s="239">
        <f t="shared" si="2"/>
        <v>229376.124</v>
      </c>
      <c r="D23" s="67">
        <v>98761.26</v>
      </c>
      <c r="E23" s="67">
        <v>0</v>
      </c>
      <c r="F23" s="67">
        <v>178.209</v>
      </c>
      <c r="G23" s="67">
        <v>1168.311</v>
      </c>
      <c r="H23" s="67"/>
      <c r="I23" s="67">
        <v>453.675</v>
      </c>
      <c r="J23" s="67">
        <v>0</v>
      </c>
      <c r="K23" s="67">
        <v>125742.517</v>
      </c>
      <c r="L23" s="67">
        <v>0</v>
      </c>
      <c r="M23" s="67">
        <v>3072.152</v>
      </c>
      <c r="N23" s="67"/>
      <c r="O23" s="227">
        <v>0</v>
      </c>
    </row>
    <row r="24" spans="1:15" ht="33.75" customHeight="1">
      <c r="A24" s="237" t="s">
        <v>466</v>
      </c>
      <c r="B24" s="238" t="s">
        <v>467</v>
      </c>
      <c r="C24" s="239">
        <f t="shared" si="2"/>
        <v>187729.927</v>
      </c>
      <c r="D24" s="67">
        <v>120451.573</v>
      </c>
      <c r="E24" s="67">
        <v>0</v>
      </c>
      <c r="F24" s="67">
        <v>580.14</v>
      </c>
      <c r="G24" s="67">
        <v>1299.154</v>
      </c>
      <c r="H24" s="67"/>
      <c r="I24" s="67">
        <v>820.42</v>
      </c>
      <c r="J24" s="67">
        <v>0</v>
      </c>
      <c r="K24" s="67">
        <v>63780.566</v>
      </c>
      <c r="L24" s="67">
        <v>0</v>
      </c>
      <c r="M24" s="67">
        <v>798.074</v>
      </c>
      <c r="N24" s="67"/>
      <c r="O24" s="264">
        <v>0</v>
      </c>
    </row>
    <row r="25" spans="1:15" ht="33.75" customHeight="1">
      <c r="A25" s="237" t="s">
        <v>497</v>
      </c>
      <c r="B25" s="238" t="s">
        <v>498</v>
      </c>
      <c r="C25" s="239">
        <f t="shared" si="2"/>
        <v>215648.23299999998</v>
      </c>
      <c r="D25" s="67">
        <v>125137.574</v>
      </c>
      <c r="E25" s="67">
        <v>0</v>
      </c>
      <c r="F25" s="67">
        <v>295.865</v>
      </c>
      <c r="G25" s="67">
        <v>1105.078</v>
      </c>
      <c r="H25" s="67"/>
      <c r="I25" s="67">
        <v>292.336</v>
      </c>
      <c r="J25" s="67">
        <v>0</v>
      </c>
      <c r="K25" s="67">
        <v>84257.034</v>
      </c>
      <c r="L25" s="67">
        <v>0</v>
      </c>
      <c r="M25" s="67">
        <v>4560.346</v>
      </c>
      <c r="N25" s="67"/>
      <c r="O25" s="264"/>
    </row>
    <row r="26" spans="1:15" ht="33.75" customHeight="1">
      <c r="A26" s="237" t="s">
        <v>503</v>
      </c>
      <c r="B26" s="272" t="s">
        <v>506</v>
      </c>
      <c r="C26" s="239">
        <f t="shared" si="2"/>
        <v>332004.276</v>
      </c>
      <c r="D26" s="67">
        <v>129065.903</v>
      </c>
      <c r="E26" s="67">
        <v>0</v>
      </c>
      <c r="F26" s="67">
        <v>472.294</v>
      </c>
      <c r="G26" s="67">
        <v>913.147</v>
      </c>
      <c r="H26" s="67"/>
      <c r="I26" s="67">
        <v>203.935</v>
      </c>
      <c r="J26" s="67">
        <v>0</v>
      </c>
      <c r="K26" s="67">
        <v>194837.537</v>
      </c>
      <c r="L26" s="67">
        <v>0</v>
      </c>
      <c r="M26" s="67">
        <v>6511.46</v>
      </c>
      <c r="N26" s="67"/>
      <c r="O26" s="264">
        <v>0</v>
      </c>
    </row>
    <row r="27" spans="1:15" ht="33.75" customHeight="1">
      <c r="A27" s="237" t="s">
        <v>509</v>
      </c>
      <c r="B27" s="272" t="s">
        <v>512</v>
      </c>
      <c r="C27" s="239">
        <f t="shared" si="2"/>
        <v>271820.783</v>
      </c>
      <c r="D27" s="67">
        <v>145131.976</v>
      </c>
      <c r="E27" s="67">
        <v>0</v>
      </c>
      <c r="F27" s="67">
        <v>1762.227</v>
      </c>
      <c r="G27" s="67">
        <v>765.539</v>
      </c>
      <c r="H27" s="67"/>
      <c r="I27" s="67">
        <v>183.733</v>
      </c>
      <c r="J27" s="67">
        <v>0</v>
      </c>
      <c r="K27" s="67">
        <v>121107.361</v>
      </c>
      <c r="L27" s="67">
        <v>0</v>
      </c>
      <c r="M27" s="67">
        <v>2869.947</v>
      </c>
      <c r="N27" s="67"/>
      <c r="O27" s="264">
        <v>0</v>
      </c>
    </row>
    <row r="28" spans="1:15" ht="33.75" customHeight="1">
      <c r="A28" s="237" t="s">
        <v>520</v>
      </c>
      <c r="B28" s="272" t="s">
        <v>521</v>
      </c>
      <c r="C28" s="239">
        <f>SUM(D28:O28)</f>
        <v>304820.183</v>
      </c>
      <c r="D28" s="67">
        <v>140278.48</v>
      </c>
      <c r="E28" s="67">
        <v>0</v>
      </c>
      <c r="F28" s="67">
        <v>234.16</v>
      </c>
      <c r="G28" s="67">
        <v>1117.84</v>
      </c>
      <c r="H28" s="67"/>
      <c r="I28" s="67">
        <v>301.46</v>
      </c>
      <c r="J28" s="67">
        <v>0</v>
      </c>
      <c r="K28" s="67">
        <v>159110.132</v>
      </c>
      <c r="L28" s="67">
        <v>0</v>
      </c>
      <c r="M28" s="67">
        <v>3778.111</v>
      </c>
      <c r="N28" s="67"/>
      <c r="O28" s="264">
        <v>0</v>
      </c>
    </row>
    <row r="29" spans="1:15" ht="33.75" customHeight="1" thickBot="1">
      <c r="A29" s="261"/>
      <c r="B29" s="268"/>
      <c r="C29" s="262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263"/>
    </row>
    <row r="30" spans="1:14" ht="24.75" customHeight="1">
      <c r="A30" s="99" t="s">
        <v>456</v>
      </c>
      <c r="B30" s="108"/>
      <c r="C30" s="95"/>
      <c r="D30" s="109"/>
      <c r="E30" s="109"/>
      <c r="F30" s="109"/>
      <c r="G30" s="109"/>
      <c r="H30" s="110"/>
      <c r="I30" s="109"/>
      <c r="J30" s="109"/>
      <c r="K30" s="109"/>
      <c r="L30" s="109"/>
      <c r="M30" s="109"/>
      <c r="N30" s="109"/>
    </row>
    <row r="31" spans="1:14" ht="15" customHeight="1">
      <c r="A31" s="254" t="s">
        <v>454</v>
      </c>
      <c r="B31" s="99"/>
      <c r="C31" s="95"/>
      <c r="D31" s="109"/>
      <c r="E31" s="109"/>
      <c r="F31" s="109"/>
      <c r="G31" s="109"/>
      <c r="H31" s="110"/>
      <c r="I31" s="109"/>
      <c r="J31" s="109"/>
      <c r="K31" s="109"/>
      <c r="L31" s="109"/>
      <c r="M31" s="109"/>
      <c r="N31" s="109"/>
    </row>
    <row r="32" spans="2:14" ht="15.75">
      <c r="B32" s="100"/>
      <c r="C32" s="95"/>
      <c r="D32" s="109"/>
      <c r="E32" s="109"/>
      <c r="F32" s="109"/>
      <c r="G32" s="109"/>
      <c r="H32" s="110"/>
      <c r="I32" s="109"/>
      <c r="J32" s="109"/>
      <c r="K32" s="109"/>
      <c r="L32" s="109"/>
      <c r="M32" s="109"/>
      <c r="N32" s="109"/>
    </row>
    <row r="34" spans="1:14" ht="15.75">
      <c r="A34" s="101"/>
      <c r="B34" s="101"/>
      <c r="C34" s="102"/>
      <c r="D34" s="102"/>
      <c r="E34" s="102"/>
      <c r="F34" s="102"/>
      <c r="G34" s="102"/>
      <c r="H34" s="101"/>
      <c r="I34" s="102"/>
      <c r="J34" s="102"/>
      <c r="K34" s="102"/>
      <c r="L34" s="102"/>
      <c r="M34" s="102"/>
      <c r="N34" s="102"/>
    </row>
  </sheetData>
  <sheetProtection/>
  <mergeCells count="2">
    <mergeCell ref="A5:B5"/>
    <mergeCell ref="A6:B6"/>
  </mergeCells>
  <printOptions/>
  <pageMargins left="0.7480314960629921" right="0.7480314960629921" top="0.5905511811023623" bottom="0.31496062992125984" header="0.5118110236220472" footer="0.3937007874015748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53"/>
  <sheetViews>
    <sheetView zoomScalePageLayoutView="0" workbookViewId="0" topLeftCell="A1">
      <selection activeCell="D16" sqref="D16"/>
    </sheetView>
  </sheetViews>
  <sheetFormatPr defaultColWidth="9.00390625" defaultRowHeight="16.5"/>
  <cols>
    <col min="1" max="1" width="11.00390625" style="65" customWidth="1"/>
    <col min="2" max="2" width="10.75390625" style="65" customWidth="1"/>
    <col min="3" max="3" width="9.50390625" style="65" customWidth="1"/>
    <col min="4" max="4" width="11.50390625" style="65" customWidth="1"/>
    <col min="5" max="5" width="9.625" style="65" customWidth="1"/>
    <col min="6" max="6" width="10.00390625" style="65" bestFit="1" customWidth="1"/>
    <col min="7" max="7" width="9.75390625" style="65" customWidth="1"/>
    <col min="8" max="8" width="10.125" style="65" customWidth="1"/>
    <col min="9" max="9" width="9.00390625" style="65" customWidth="1"/>
    <col min="10" max="10" width="9.25390625" style="65" bestFit="1" customWidth="1"/>
    <col min="11" max="11" width="10.00390625" style="65" bestFit="1" customWidth="1"/>
    <col min="12" max="12" width="9.00390625" style="65" customWidth="1"/>
    <col min="13" max="13" width="11.25390625" style="65" bestFit="1" customWidth="1"/>
    <col min="14" max="14" width="11.625" style="65" customWidth="1"/>
    <col min="15" max="15" width="11.375" style="65" customWidth="1"/>
    <col min="16" max="16" width="11.875" style="65" customWidth="1"/>
    <col min="17" max="16384" width="9.00390625" style="65" customWidth="1"/>
  </cols>
  <sheetData>
    <row r="1" spans="1:39" ht="15.75">
      <c r="A1" s="3" t="s">
        <v>409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" t="s">
        <v>483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39" ht="22.5" customHeight="1">
      <c r="A2" s="112" t="s">
        <v>424</v>
      </c>
      <c r="B2" s="112"/>
      <c r="C2" s="112"/>
      <c r="D2" s="112"/>
      <c r="E2" s="112"/>
      <c r="F2" s="112"/>
      <c r="G2" s="112"/>
      <c r="H2" s="112"/>
      <c r="I2" s="195" t="s">
        <v>425</v>
      </c>
      <c r="J2" s="113"/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5" customHeight="1">
      <c r="A3" s="115" t="s">
        <v>244</v>
      </c>
      <c r="B3" s="116"/>
      <c r="C3" s="112"/>
      <c r="D3" s="112"/>
      <c r="E3" s="112"/>
      <c r="F3" s="112"/>
      <c r="G3" s="112"/>
      <c r="H3" s="112"/>
      <c r="I3" s="115" t="s">
        <v>246</v>
      </c>
      <c r="J3" s="113"/>
      <c r="K3" s="113"/>
      <c r="L3" s="113"/>
      <c r="M3" s="113"/>
      <c r="N3" s="112"/>
      <c r="O3" s="102"/>
      <c r="P3" s="108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3.5" customHeight="1" thickBot="1">
      <c r="A4" s="74" t="s">
        <v>231</v>
      </c>
      <c r="C4" s="74"/>
      <c r="D4" s="74"/>
      <c r="E4" s="74"/>
      <c r="F4" s="74"/>
      <c r="I4" s="73"/>
      <c r="K4" s="74"/>
      <c r="L4" s="74"/>
      <c r="M4" s="74"/>
      <c r="N4" s="74"/>
      <c r="O4" s="74"/>
      <c r="P4" s="103" t="s">
        <v>0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2.5" customHeight="1">
      <c r="A5" s="328" t="s">
        <v>194</v>
      </c>
      <c r="B5" s="342"/>
      <c r="C5" s="150" t="s">
        <v>232</v>
      </c>
      <c r="D5" s="150" t="s">
        <v>245</v>
      </c>
      <c r="E5" s="150" t="s">
        <v>233</v>
      </c>
      <c r="F5" s="150" t="s">
        <v>234</v>
      </c>
      <c r="G5" s="150" t="s">
        <v>240</v>
      </c>
      <c r="H5" s="150" t="s">
        <v>241</v>
      </c>
      <c r="I5" s="159" t="s">
        <v>242</v>
      </c>
      <c r="J5" s="150" t="s">
        <v>243</v>
      </c>
      <c r="K5" s="150" t="s">
        <v>44</v>
      </c>
      <c r="L5" s="150" t="s">
        <v>235</v>
      </c>
      <c r="M5" s="150" t="s">
        <v>236</v>
      </c>
      <c r="N5" s="150" t="s">
        <v>239</v>
      </c>
      <c r="O5" s="150" t="s">
        <v>238</v>
      </c>
      <c r="P5" s="150" t="s">
        <v>237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39" ht="39" customHeight="1" thickBot="1">
      <c r="A6" s="181" t="s">
        <v>223</v>
      </c>
      <c r="B6" s="123"/>
      <c r="C6" s="154" t="s">
        <v>206</v>
      </c>
      <c r="D6" s="152" t="s">
        <v>136</v>
      </c>
      <c r="E6" s="153" t="s">
        <v>247</v>
      </c>
      <c r="F6" s="152" t="s">
        <v>248</v>
      </c>
      <c r="G6" s="152" t="s">
        <v>249</v>
      </c>
      <c r="H6" s="154" t="s">
        <v>250</v>
      </c>
      <c r="I6" s="152" t="s">
        <v>251</v>
      </c>
      <c r="J6" s="152" t="s">
        <v>252</v>
      </c>
      <c r="K6" s="152" t="s">
        <v>253</v>
      </c>
      <c r="L6" s="152" t="s">
        <v>254</v>
      </c>
      <c r="M6" s="152" t="s">
        <v>255</v>
      </c>
      <c r="N6" s="152" t="s">
        <v>152</v>
      </c>
      <c r="O6" s="152" t="s">
        <v>256</v>
      </c>
      <c r="P6" s="152" t="s">
        <v>257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16" ht="15" customHeight="1" hidden="1">
      <c r="A7" s="88" t="s">
        <v>348</v>
      </c>
      <c r="B7" s="59" t="s">
        <v>27</v>
      </c>
      <c r="C7" s="66">
        <f>SUM(D7:P7)+SUM('6-3鄉預出續'!C7:O7)</f>
        <v>131675</v>
      </c>
      <c r="D7" s="66">
        <v>6647</v>
      </c>
      <c r="E7" s="66">
        <v>34503</v>
      </c>
      <c r="F7" s="66">
        <v>3691</v>
      </c>
      <c r="G7" s="66">
        <v>247</v>
      </c>
      <c r="H7" s="66">
        <v>960</v>
      </c>
      <c r="I7" s="1">
        <v>0</v>
      </c>
      <c r="J7" s="66">
        <v>721</v>
      </c>
      <c r="K7" s="66">
        <v>7816</v>
      </c>
      <c r="L7" s="66">
        <v>0</v>
      </c>
      <c r="M7" s="66">
        <v>63200</v>
      </c>
      <c r="N7" s="66">
        <v>2003</v>
      </c>
      <c r="O7" s="118">
        <v>1874</v>
      </c>
      <c r="P7" s="118">
        <v>517</v>
      </c>
    </row>
    <row r="8" spans="1:16" ht="15" customHeight="1" hidden="1">
      <c r="A8" s="88"/>
      <c r="B8" s="158" t="s">
        <v>258</v>
      </c>
      <c r="C8" s="66"/>
      <c r="D8" s="66"/>
      <c r="E8" s="66"/>
      <c r="F8" s="66"/>
      <c r="G8" s="66"/>
      <c r="H8" s="66"/>
      <c r="I8" s="1"/>
      <c r="J8" s="66"/>
      <c r="K8" s="66"/>
      <c r="L8" s="66"/>
      <c r="M8" s="66"/>
      <c r="N8" s="66"/>
      <c r="O8" s="118"/>
      <c r="P8" s="118"/>
    </row>
    <row r="9" spans="1:16" ht="15" customHeight="1" hidden="1">
      <c r="A9" s="138" t="s">
        <v>349</v>
      </c>
      <c r="B9" s="89" t="s">
        <v>4</v>
      </c>
      <c r="C9" s="66">
        <f>SUM(D9:P9)+SUM('6-3鄉預出續'!C9:O9)</f>
        <v>184336</v>
      </c>
      <c r="D9" s="66">
        <v>6983</v>
      </c>
      <c r="E9" s="66">
        <v>36852</v>
      </c>
      <c r="F9" s="66">
        <v>6521</v>
      </c>
      <c r="G9" s="66">
        <v>247</v>
      </c>
      <c r="H9" s="66">
        <v>1265</v>
      </c>
      <c r="I9" s="1">
        <v>0</v>
      </c>
      <c r="J9" s="66">
        <v>721</v>
      </c>
      <c r="K9" s="66">
        <v>12074</v>
      </c>
      <c r="L9" s="66">
        <v>0</v>
      </c>
      <c r="M9" s="66">
        <v>100188</v>
      </c>
      <c r="N9" s="66">
        <v>2065</v>
      </c>
      <c r="O9" s="119">
        <v>1874</v>
      </c>
      <c r="P9" s="119">
        <v>1247</v>
      </c>
    </row>
    <row r="10" spans="1:16" ht="15" customHeight="1" hidden="1">
      <c r="A10" s="76"/>
      <c r="B10" s="188" t="s">
        <v>259</v>
      </c>
      <c r="C10" s="66"/>
      <c r="D10" s="66"/>
      <c r="E10" s="66"/>
      <c r="F10" s="66"/>
      <c r="G10" s="66"/>
      <c r="H10" s="66"/>
      <c r="I10" s="1"/>
      <c r="J10" s="66"/>
      <c r="K10" s="66"/>
      <c r="L10" s="66"/>
      <c r="M10" s="66"/>
      <c r="N10" s="66"/>
      <c r="O10" s="119"/>
      <c r="P10" s="119"/>
    </row>
    <row r="11" spans="1:16" ht="9" customHeight="1">
      <c r="A11" s="76"/>
      <c r="B11" s="351"/>
      <c r="C11" s="66"/>
      <c r="D11" s="66"/>
      <c r="E11" s="66"/>
      <c r="F11" s="66"/>
      <c r="G11" s="66"/>
      <c r="H11" s="66"/>
      <c r="I11" s="1"/>
      <c r="J11" s="66"/>
      <c r="K11" s="66"/>
      <c r="L11" s="66"/>
      <c r="M11" s="66"/>
      <c r="N11" s="66"/>
      <c r="O11" s="119"/>
      <c r="P11" s="119"/>
    </row>
    <row r="12" spans="1:16" ht="15" customHeight="1">
      <c r="A12" s="90" t="s">
        <v>350</v>
      </c>
      <c r="B12" s="348" t="s">
        <v>27</v>
      </c>
      <c r="C12" s="66">
        <f>SUM(D12:P12)+SUM('6-3鄉預出續'!C12:O12)</f>
        <v>150371</v>
      </c>
      <c r="D12" s="66">
        <v>8445</v>
      </c>
      <c r="E12" s="66">
        <v>49095</v>
      </c>
      <c r="F12" s="66">
        <v>8496</v>
      </c>
      <c r="G12" s="66">
        <v>108</v>
      </c>
      <c r="H12" s="66">
        <v>1170</v>
      </c>
      <c r="I12" s="1">
        <v>0</v>
      </c>
      <c r="J12" s="66">
        <v>1269</v>
      </c>
      <c r="K12" s="66">
        <v>7076</v>
      </c>
      <c r="L12" s="66">
        <v>0</v>
      </c>
      <c r="M12" s="66">
        <v>41100</v>
      </c>
      <c r="N12" s="66">
        <v>7426</v>
      </c>
      <c r="O12" s="118">
        <v>23</v>
      </c>
      <c r="P12" s="118">
        <v>1354</v>
      </c>
    </row>
    <row r="13" spans="1:16" ht="15" customHeight="1">
      <c r="A13" s="90" t="s">
        <v>351</v>
      </c>
      <c r="B13" s="349" t="s">
        <v>258</v>
      </c>
      <c r="C13" s="66"/>
      <c r="D13" s="66"/>
      <c r="E13" s="66"/>
      <c r="F13" s="66"/>
      <c r="G13" s="66"/>
      <c r="H13" s="66"/>
      <c r="I13" s="1"/>
      <c r="J13" s="66"/>
      <c r="K13" s="66"/>
      <c r="L13" s="66"/>
      <c r="M13" s="66"/>
      <c r="N13" s="66"/>
      <c r="O13" s="118"/>
      <c r="P13" s="118"/>
    </row>
    <row r="14" spans="1:16" ht="15" customHeight="1">
      <c r="A14" s="210" t="s">
        <v>352</v>
      </c>
      <c r="B14" s="350" t="s">
        <v>4</v>
      </c>
      <c r="C14" s="66">
        <f>SUM(D14:P14)+SUM('6-3鄉預出續'!C14:O14)</f>
        <v>175158</v>
      </c>
      <c r="D14" s="66">
        <v>13633</v>
      </c>
      <c r="E14" s="66">
        <v>44260</v>
      </c>
      <c r="F14" s="66">
        <v>8907</v>
      </c>
      <c r="G14" s="66">
        <v>88</v>
      </c>
      <c r="H14" s="66">
        <v>740</v>
      </c>
      <c r="I14" s="1">
        <v>0</v>
      </c>
      <c r="J14" s="66">
        <v>491</v>
      </c>
      <c r="K14" s="66">
        <v>6850</v>
      </c>
      <c r="L14" s="66">
        <v>0</v>
      </c>
      <c r="M14" s="66">
        <v>72780</v>
      </c>
      <c r="N14" s="66">
        <v>2926</v>
      </c>
      <c r="O14" s="119">
        <v>15</v>
      </c>
      <c r="P14" s="119">
        <v>1406</v>
      </c>
    </row>
    <row r="15" spans="1:16" ht="15" customHeight="1">
      <c r="A15" s="91"/>
      <c r="B15" s="351" t="s">
        <v>259</v>
      </c>
      <c r="C15" s="66"/>
      <c r="D15" s="66"/>
      <c r="E15" s="66"/>
      <c r="F15" s="66"/>
      <c r="G15" s="66"/>
      <c r="H15" s="66"/>
      <c r="I15" s="1"/>
      <c r="J15" s="66"/>
      <c r="K15" s="66"/>
      <c r="L15" s="66"/>
      <c r="M15" s="66"/>
      <c r="N15" s="66"/>
      <c r="O15" s="119"/>
      <c r="P15" s="119"/>
    </row>
    <row r="16" spans="1:16" ht="15" customHeight="1">
      <c r="A16" s="88" t="s">
        <v>353</v>
      </c>
      <c r="B16" s="348" t="s">
        <v>27</v>
      </c>
      <c r="C16" s="66">
        <f>SUM(D16:P16)+SUM('6-3鄉預出續'!C16:O16)</f>
        <v>76279</v>
      </c>
      <c r="D16" s="66">
        <v>11375</v>
      </c>
      <c r="E16" s="66">
        <v>33195</v>
      </c>
      <c r="F16" s="66">
        <v>4103</v>
      </c>
      <c r="G16" s="66">
        <v>43</v>
      </c>
      <c r="H16" s="66">
        <v>9</v>
      </c>
      <c r="I16" s="1">
        <v>0</v>
      </c>
      <c r="J16" s="66">
        <v>294</v>
      </c>
      <c r="K16" s="66">
        <v>3913</v>
      </c>
      <c r="L16" s="66">
        <v>0</v>
      </c>
      <c r="M16" s="66">
        <v>4000</v>
      </c>
      <c r="N16" s="66">
        <v>499</v>
      </c>
      <c r="O16" s="120">
        <v>0</v>
      </c>
      <c r="P16" s="118">
        <v>621</v>
      </c>
    </row>
    <row r="17" spans="1:16" ht="15" customHeight="1">
      <c r="A17" s="88"/>
      <c r="B17" s="349" t="s">
        <v>258</v>
      </c>
      <c r="C17" s="66"/>
      <c r="D17" s="66"/>
      <c r="E17" s="66"/>
      <c r="F17" s="66"/>
      <c r="G17" s="66"/>
      <c r="H17" s="66"/>
      <c r="I17" s="1"/>
      <c r="J17" s="66"/>
      <c r="K17" s="66"/>
      <c r="L17" s="66"/>
      <c r="M17" s="66"/>
      <c r="N17" s="66"/>
      <c r="O17" s="120"/>
      <c r="P17" s="118"/>
    </row>
    <row r="18" spans="1:16" ht="15" customHeight="1">
      <c r="A18" s="138" t="s">
        <v>354</v>
      </c>
      <c r="B18" s="350" t="s">
        <v>4</v>
      </c>
      <c r="C18" s="66">
        <f>SUM(D18:P18)+SUM('6-3鄉預出續'!C18:O18)</f>
        <v>84363</v>
      </c>
      <c r="D18" s="66">
        <v>11375</v>
      </c>
      <c r="E18" s="66">
        <v>30195</v>
      </c>
      <c r="F18" s="66">
        <v>6303</v>
      </c>
      <c r="G18" s="66">
        <v>43</v>
      </c>
      <c r="H18" s="66">
        <v>274</v>
      </c>
      <c r="I18" s="1">
        <v>0</v>
      </c>
      <c r="J18" s="66">
        <v>294</v>
      </c>
      <c r="K18" s="66">
        <v>468</v>
      </c>
      <c r="L18" s="66">
        <v>0</v>
      </c>
      <c r="M18" s="66">
        <v>16790</v>
      </c>
      <c r="N18" s="66">
        <v>499</v>
      </c>
      <c r="O18" s="120">
        <v>0</v>
      </c>
      <c r="P18" s="119">
        <v>606</v>
      </c>
    </row>
    <row r="19" spans="1:16" ht="15" customHeight="1">
      <c r="A19" s="76"/>
      <c r="B19" s="351" t="s">
        <v>259</v>
      </c>
      <c r="C19" s="66"/>
      <c r="D19" s="66"/>
      <c r="E19" s="66"/>
      <c r="F19" s="66"/>
      <c r="G19" s="66"/>
      <c r="H19" s="66"/>
      <c r="I19" s="1"/>
      <c r="J19" s="66"/>
      <c r="K19" s="66"/>
      <c r="L19" s="66"/>
      <c r="M19" s="66"/>
      <c r="N19" s="66"/>
      <c r="O19" s="120"/>
      <c r="P19" s="119"/>
    </row>
    <row r="20" spans="1:16" ht="15" customHeight="1">
      <c r="A20" s="88" t="s">
        <v>355</v>
      </c>
      <c r="B20" s="348" t="s">
        <v>27</v>
      </c>
      <c r="C20" s="66">
        <f>SUM(D20:P20)+SUM('6-3鄉預出續'!C20:O20)</f>
        <v>75523</v>
      </c>
      <c r="D20" s="66">
        <v>12162</v>
      </c>
      <c r="E20" s="66">
        <v>36182</v>
      </c>
      <c r="F20" s="66">
        <v>5383</v>
      </c>
      <c r="G20" s="66">
        <v>51</v>
      </c>
      <c r="H20" s="66">
        <v>402</v>
      </c>
      <c r="I20" s="1">
        <v>0</v>
      </c>
      <c r="J20" s="66">
        <v>380</v>
      </c>
      <c r="K20" s="66">
        <v>628</v>
      </c>
      <c r="L20" s="66">
        <v>0</v>
      </c>
      <c r="M20" s="66">
        <v>70</v>
      </c>
      <c r="N20" s="66">
        <v>814</v>
      </c>
      <c r="O20" s="66">
        <v>1</v>
      </c>
      <c r="P20" s="66">
        <v>895</v>
      </c>
    </row>
    <row r="21" spans="1:16" ht="15" customHeight="1">
      <c r="A21" s="88"/>
      <c r="B21" s="349" t="s">
        <v>258</v>
      </c>
      <c r="C21" s="66"/>
      <c r="D21" s="66"/>
      <c r="E21" s="66"/>
      <c r="F21" s="66"/>
      <c r="G21" s="66"/>
      <c r="H21" s="66"/>
      <c r="I21" s="1"/>
      <c r="J21" s="66"/>
      <c r="K21" s="66"/>
      <c r="L21" s="66"/>
      <c r="M21" s="66"/>
      <c r="N21" s="66"/>
      <c r="O21" s="66"/>
      <c r="P21" s="66"/>
    </row>
    <row r="22" spans="1:16" s="73" customFormat="1" ht="15" customHeight="1">
      <c r="A22" s="211" t="s">
        <v>356</v>
      </c>
      <c r="B22" s="350" t="s">
        <v>4</v>
      </c>
      <c r="C22" s="66">
        <f>SUM(D22:P22)+SUM('6-3鄉預出續'!C22:O22)</f>
        <v>130075</v>
      </c>
      <c r="D22" s="66">
        <v>12372</v>
      </c>
      <c r="E22" s="66">
        <v>38902</v>
      </c>
      <c r="F22" s="66">
        <v>8713</v>
      </c>
      <c r="G22" s="66">
        <v>74</v>
      </c>
      <c r="H22" s="66">
        <v>752</v>
      </c>
      <c r="I22" s="1">
        <v>0</v>
      </c>
      <c r="J22" s="66">
        <v>380</v>
      </c>
      <c r="K22" s="66">
        <v>2022</v>
      </c>
      <c r="L22" s="66">
        <v>0</v>
      </c>
      <c r="M22" s="66">
        <v>23337</v>
      </c>
      <c r="N22" s="66">
        <v>814</v>
      </c>
      <c r="O22" s="66">
        <v>1</v>
      </c>
      <c r="P22" s="66">
        <v>1125</v>
      </c>
    </row>
    <row r="23" spans="1:16" s="73" customFormat="1" ht="15" customHeight="1">
      <c r="A23" s="92"/>
      <c r="B23" s="351" t="s">
        <v>259</v>
      </c>
      <c r="C23" s="66"/>
      <c r="D23" s="66"/>
      <c r="E23" s="66"/>
      <c r="F23" s="66"/>
      <c r="G23" s="66"/>
      <c r="H23" s="66"/>
      <c r="I23" s="1"/>
      <c r="J23" s="66"/>
      <c r="K23" s="66"/>
      <c r="L23" s="66"/>
      <c r="M23" s="66"/>
      <c r="N23" s="66"/>
      <c r="O23" s="66"/>
      <c r="P23" s="66"/>
    </row>
    <row r="24" spans="1:16" ht="15" customHeight="1">
      <c r="A24" s="76" t="s">
        <v>357</v>
      </c>
      <c r="B24" s="355" t="s">
        <v>523</v>
      </c>
      <c r="C24" s="66">
        <f>SUM(D24:P24)+SUM('6-3鄉預出續'!C24:O24)</f>
        <v>81971</v>
      </c>
      <c r="D24" s="66">
        <v>12203</v>
      </c>
      <c r="E24" s="66">
        <v>40709</v>
      </c>
      <c r="F24" s="66">
        <v>5155</v>
      </c>
      <c r="G24" s="66">
        <v>136</v>
      </c>
      <c r="H24" s="66">
        <v>990</v>
      </c>
      <c r="I24" s="66">
        <v>0</v>
      </c>
      <c r="J24" s="66">
        <v>380</v>
      </c>
      <c r="K24" s="66">
        <v>1082</v>
      </c>
      <c r="L24" s="66">
        <v>0</v>
      </c>
      <c r="M24" s="66">
        <v>920</v>
      </c>
      <c r="N24" s="66">
        <v>1294</v>
      </c>
      <c r="O24" s="119">
        <v>17</v>
      </c>
      <c r="P24" s="119">
        <v>1560</v>
      </c>
    </row>
    <row r="25" spans="1:16" ht="15" customHeight="1">
      <c r="A25" s="76"/>
      <c r="B25" s="349" t="s">
        <v>258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119"/>
      <c r="P25" s="119"/>
    </row>
    <row r="26" spans="1:16" ht="15" customHeight="1">
      <c r="A26" s="209" t="s">
        <v>358</v>
      </c>
      <c r="B26" s="348" t="s">
        <v>54</v>
      </c>
      <c r="C26" s="66">
        <f>SUM(D26:P26)+SUM('6-3鄉預出續'!C26:O26)</f>
        <v>185966</v>
      </c>
      <c r="D26" s="66">
        <v>12464</v>
      </c>
      <c r="E26" s="66">
        <v>41729</v>
      </c>
      <c r="F26" s="66">
        <v>12277</v>
      </c>
      <c r="G26" s="66">
        <v>136</v>
      </c>
      <c r="H26" s="66">
        <v>990</v>
      </c>
      <c r="I26" s="66">
        <v>0</v>
      </c>
      <c r="J26" s="66">
        <v>380</v>
      </c>
      <c r="K26" s="66">
        <v>3291</v>
      </c>
      <c r="L26" s="66">
        <v>0</v>
      </c>
      <c r="M26" s="66">
        <v>93803</v>
      </c>
      <c r="N26" s="66">
        <v>1294</v>
      </c>
      <c r="O26" s="66">
        <v>17</v>
      </c>
      <c r="P26" s="66">
        <v>1860</v>
      </c>
    </row>
    <row r="27" spans="1:16" ht="15" customHeight="1">
      <c r="A27" s="88"/>
      <c r="B27" s="351" t="s">
        <v>259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ht="15" customHeight="1">
      <c r="A28" s="76" t="s">
        <v>359</v>
      </c>
      <c r="B28" s="355" t="s">
        <v>523</v>
      </c>
      <c r="C28" s="66">
        <f>SUM(D28:P28)+SUM('6-3鄉預出續'!C28:O28)</f>
        <v>117706</v>
      </c>
      <c r="D28" s="66">
        <v>12765</v>
      </c>
      <c r="E28" s="66">
        <v>40298</v>
      </c>
      <c r="F28" s="66">
        <v>5600</v>
      </c>
      <c r="G28" s="66">
        <v>176</v>
      </c>
      <c r="H28" s="66">
        <v>1430</v>
      </c>
      <c r="I28" s="66">
        <v>0</v>
      </c>
      <c r="J28" s="66">
        <v>492</v>
      </c>
      <c r="K28" s="66">
        <v>1456</v>
      </c>
      <c r="L28" s="66">
        <v>0</v>
      </c>
      <c r="M28" s="66">
        <v>29416</v>
      </c>
      <c r="N28" s="66">
        <v>1298</v>
      </c>
      <c r="O28" s="119">
        <v>20</v>
      </c>
      <c r="P28" s="119">
        <v>80</v>
      </c>
    </row>
    <row r="29" spans="1:16" ht="15" customHeight="1">
      <c r="A29" s="76"/>
      <c r="B29" s="349" t="s">
        <v>258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119"/>
      <c r="P29" s="119"/>
    </row>
    <row r="30" spans="1:16" ht="15" customHeight="1">
      <c r="A30" s="209" t="s">
        <v>360</v>
      </c>
      <c r="B30" s="348" t="s">
        <v>54</v>
      </c>
      <c r="C30" s="66">
        <f>SUM(D30:P30)+SUM('6-3鄉預出續'!C30:O30)</f>
        <v>159653</v>
      </c>
      <c r="D30" s="66">
        <v>13465</v>
      </c>
      <c r="E30" s="66">
        <v>42388</v>
      </c>
      <c r="F30" s="66">
        <v>12924</v>
      </c>
      <c r="G30" s="66">
        <v>176</v>
      </c>
      <c r="H30" s="66">
        <v>1780</v>
      </c>
      <c r="I30" s="66">
        <v>0</v>
      </c>
      <c r="J30" s="66">
        <v>492</v>
      </c>
      <c r="K30" s="66">
        <v>5891</v>
      </c>
      <c r="L30" s="66">
        <v>0</v>
      </c>
      <c r="M30" s="66">
        <v>55766</v>
      </c>
      <c r="N30" s="66">
        <v>813</v>
      </c>
      <c r="O30" s="66">
        <v>20</v>
      </c>
      <c r="P30" s="66">
        <v>330</v>
      </c>
    </row>
    <row r="31" spans="1:16" ht="15" customHeight="1">
      <c r="A31" s="88"/>
      <c r="B31" s="351" t="s">
        <v>259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15" customHeight="1">
      <c r="A32" s="76" t="s">
        <v>361</v>
      </c>
      <c r="B32" s="355" t="s">
        <v>523</v>
      </c>
      <c r="C32" s="66">
        <f>SUM(D32:P32)+SUM('6-3鄉預出續'!C32:O32)</f>
        <v>90781</v>
      </c>
      <c r="D32" s="66">
        <v>13323</v>
      </c>
      <c r="E32" s="66">
        <v>42297</v>
      </c>
      <c r="F32" s="66">
        <v>6328</v>
      </c>
      <c r="G32" s="66">
        <v>176</v>
      </c>
      <c r="H32" s="66">
        <v>782</v>
      </c>
      <c r="I32" s="66">
        <v>0</v>
      </c>
      <c r="J32" s="66">
        <v>498</v>
      </c>
      <c r="K32" s="66">
        <v>1001</v>
      </c>
      <c r="L32" s="66">
        <v>0</v>
      </c>
      <c r="M32" s="66">
        <v>900</v>
      </c>
      <c r="N32" s="66">
        <v>3268</v>
      </c>
      <c r="O32" s="119">
        <v>20</v>
      </c>
      <c r="P32" s="119">
        <v>1730</v>
      </c>
    </row>
    <row r="33" spans="1:16" ht="15" customHeight="1">
      <c r="A33" s="76"/>
      <c r="B33" s="349" t="s">
        <v>258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119"/>
      <c r="P33" s="119"/>
    </row>
    <row r="34" spans="1:16" ht="15" customHeight="1">
      <c r="A34" s="209" t="s">
        <v>392</v>
      </c>
      <c r="B34" s="348" t="s">
        <v>54</v>
      </c>
      <c r="C34" s="66">
        <f>SUM(D34:P34)+SUM('6-3鄉預出續'!C34:O34)</f>
        <v>180711</v>
      </c>
      <c r="D34" s="66">
        <v>13891</v>
      </c>
      <c r="E34" s="66">
        <v>43347</v>
      </c>
      <c r="F34" s="66">
        <v>11050</v>
      </c>
      <c r="G34" s="66">
        <v>176</v>
      </c>
      <c r="H34" s="66">
        <v>782</v>
      </c>
      <c r="I34" s="66">
        <v>0</v>
      </c>
      <c r="J34" s="66">
        <v>498</v>
      </c>
      <c r="K34" s="66">
        <v>3151</v>
      </c>
      <c r="L34" s="66">
        <v>0</v>
      </c>
      <c r="M34" s="66">
        <v>66586</v>
      </c>
      <c r="N34" s="66">
        <v>8268</v>
      </c>
      <c r="O34" s="66">
        <v>80</v>
      </c>
      <c r="P34" s="66">
        <v>2250</v>
      </c>
    </row>
    <row r="35" spans="1:16" ht="15" customHeight="1">
      <c r="A35" s="88"/>
      <c r="B35" s="351" t="s">
        <v>259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1:39" ht="15" customHeight="1">
      <c r="A36" s="88" t="s">
        <v>395</v>
      </c>
      <c r="B36" s="348" t="s">
        <v>27</v>
      </c>
      <c r="C36" s="66">
        <f>SUM(D36:P36)+SUM('6-3鄉預出續'!C36:O36)</f>
        <v>88891</v>
      </c>
      <c r="D36" s="66">
        <v>14012</v>
      </c>
      <c r="E36" s="66">
        <v>19316</v>
      </c>
      <c r="F36" s="66">
        <v>15532</v>
      </c>
      <c r="G36" s="66">
        <v>176</v>
      </c>
      <c r="H36" s="66">
        <v>686</v>
      </c>
      <c r="I36" s="1">
        <v>0</v>
      </c>
      <c r="J36" s="66">
        <v>1851</v>
      </c>
      <c r="K36" s="66">
        <v>4366</v>
      </c>
      <c r="L36" s="66">
        <v>0</v>
      </c>
      <c r="M36" s="63">
        <v>900</v>
      </c>
      <c r="N36" s="66">
        <v>6976</v>
      </c>
      <c r="O36" s="117">
        <v>20</v>
      </c>
      <c r="P36" s="118">
        <v>6695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</row>
    <row r="37" spans="1:39" ht="15" customHeight="1">
      <c r="A37" s="88"/>
      <c r="B37" s="349" t="s">
        <v>258</v>
      </c>
      <c r="C37" s="66"/>
      <c r="D37" s="66"/>
      <c r="E37" s="66"/>
      <c r="F37" s="66"/>
      <c r="G37" s="66"/>
      <c r="H37" s="66"/>
      <c r="I37" s="1"/>
      <c r="J37" s="66"/>
      <c r="K37" s="66"/>
      <c r="L37" s="66"/>
      <c r="M37" s="63"/>
      <c r="N37" s="66"/>
      <c r="O37" s="117"/>
      <c r="P37" s="118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</row>
    <row r="38" spans="1:17" ht="15" customHeight="1">
      <c r="A38" s="138" t="s">
        <v>394</v>
      </c>
      <c r="B38" s="350" t="s">
        <v>4</v>
      </c>
      <c r="C38" s="66">
        <f>SUM(D38:P38)+SUM('6-3鄉預出續'!C38:O38)</f>
        <v>134428</v>
      </c>
      <c r="D38" s="66">
        <v>14412</v>
      </c>
      <c r="E38" s="66">
        <v>18306</v>
      </c>
      <c r="F38" s="66">
        <v>19477</v>
      </c>
      <c r="G38" s="66">
        <v>146</v>
      </c>
      <c r="H38" s="66">
        <v>2156</v>
      </c>
      <c r="I38" s="1">
        <v>0</v>
      </c>
      <c r="J38" s="66">
        <v>1581</v>
      </c>
      <c r="K38" s="66">
        <v>6266</v>
      </c>
      <c r="L38" s="66">
        <v>0</v>
      </c>
      <c r="M38" s="66">
        <v>33714</v>
      </c>
      <c r="N38" s="66">
        <v>4997</v>
      </c>
      <c r="O38" s="66">
        <v>20</v>
      </c>
      <c r="P38" s="66">
        <v>7618</v>
      </c>
      <c r="Q38" s="109"/>
    </row>
    <row r="39" spans="1:17" ht="15" customHeight="1">
      <c r="A39" s="76"/>
      <c r="B39" s="351" t="s">
        <v>259</v>
      </c>
      <c r="C39" s="66"/>
      <c r="D39" s="66"/>
      <c r="E39" s="66"/>
      <c r="F39" s="66"/>
      <c r="G39" s="66"/>
      <c r="H39" s="66"/>
      <c r="I39" s="1"/>
      <c r="J39" s="66"/>
      <c r="K39" s="66"/>
      <c r="L39" s="66"/>
      <c r="M39" s="66"/>
      <c r="N39" s="66"/>
      <c r="O39" s="66"/>
      <c r="P39" s="66"/>
      <c r="Q39" s="109"/>
    </row>
    <row r="40" spans="1:39" ht="15" customHeight="1">
      <c r="A40" s="88" t="s">
        <v>401</v>
      </c>
      <c r="B40" s="348" t="s">
        <v>27</v>
      </c>
      <c r="C40" s="66">
        <f>SUM(D40:P40)+SUM('6-3鄉預出續'!C40:O40)</f>
        <v>98228</v>
      </c>
      <c r="D40" s="66">
        <v>14416</v>
      </c>
      <c r="E40" s="66">
        <v>18233</v>
      </c>
      <c r="F40" s="66">
        <v>15354</v>
      </c>
      <c r="G40" s="66">
        <v>159</v>
      </c>
      <c r="H40" s="66">
        <v>1521</v>
      </c>
      <c r="I40" s="1">
        <v>0</v>
      </c>
      <c r="J40" s="66">
        <v>1590</v>
      </c>
      <c r="K40" s="66">
        <v>5577</v>
      </c>
      <c r="L40" s="66">
        <v>0</v>
      </c>
      <c r="M40" s="63">
        <v>7050</v>
      </c>
      <c r="N40" s="66">
        <v>7166</v>
      </c>
      <c r="O40" s="117">
        <v>20</v>
      </c>
      <c r="P40" s="118">
        <v>7107</v>
      </c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</row>
    <row r="41" spans="1:39" ht="15" customHeight="1">
      <c r="A41" s="88"/>
      <c r="B41" s="349" t="s">
        <v>258</v>
      </c>
      <c r="C41" s="66"/>
      <c r="D41" s="66"/>
      <c r="E41" s="66"/>
      <c r="F41" s="66"/>
      <c r="G41" s="66"/>
      <c r="H41" s="66"/>
      <c r="I41" s="1"/>
      <c r="J41" s="66"/>
      <c r="K41" s="66"/>
      <c r="L41" s="66"/>
      <c r="M41" s="63"/>
      <c r="N41" s="66"/>
      <c r="O41" s="117"/>
      <c r="P41" s="118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</row>
    <row r="42" spans="1:17" ht="15" customHeight="1">
      <c r="A42" s="138" t="s">
        <v>400</v>
      </c>
      <c r="B42" s="350" t="s">
        <v>4</v>
      </c>
      <c r="C42" s="66">
        <f>SUM(D42:P42)+SUM('6-3鄉預出續'!C42:O42)</f>
        <v>129184</v>
      </c>
      <c r="D42" s="66">
        <v>14516</v>
      </c>
      <c r="E42" s="66">
        <v>17469</v>
      </c>
      <c r="F42" s="66">
        <v>17156</v>
      </c>
      <c r="G42" s="66">
        <v>109</v>
      </c>
      <c r="H42" s="66">
        <v>3111</v>
      </c>
      <c r="I42" s="1">
        <v>0</v>
      </c>
      <c r="J42" s="66">
        <v>1590</v>
      </c>
      <c r="K42" s="66">
        <v>7477</v>
      </c>
      <c r="L42" s="66">
        <v>0</v>
      </c>
      <c r="M42" s="66">
        <v>36695</v>
      </c>
      <c r="N42" s="66">
        <v>6324</v>
      </c>
      <c r="O42" s="66">
        <v>56</v>
      </c>
      <c r="P42" s="66">
        <v>6227</v>
      </c>
      <c r="Q42" s="109"/>
    </row>
    <row r="43" spans="1:17" ht="15" customHeight="1">
      <c r="A43" s="76"/>
      <c r="B43" s="351" t="s">
        <v>259</v>
      </c>
      <c r="C43" s="66"/>
      <c r="D43" s="66"/>
      <c r="E43" s="66"/>
      <c r="F43" s="66"/>
      <c r="G43" s="66"/>
      <c r="H43" s="66"/>
      <c r="I43" s="1"/>
      <c r="J43" s="66"/>
      <c r="K43" s="66"/>
      <c r="L43" s="66"/>
      <c r="M43" s="66"/>
      <c r="N43" s="66"/>
      <c r="O43" s="66"/>
      <c r="P43" s="66"/>
      <c r="Q43" s="109"/>
    </row>
    <row r="44" spans="1:39" ht="15" customHeight="1">
      <c r="A44" s="88" t="s">
        <v>402</v>
      </c>
      <c r="B44" s="348" t="s">
        <v>27</v>
      </c>
      <c r="C44" s="66">
        <f>SUM(D44:P44)+SUM('6-3鄉預出續'!C44:O44)</f>
        <v>101494</v>
      </c>
      <c r="D44" s="66">
        <v>14622</v>
      </c>
      <c r="E44" s="66">
        <v>18349</v>
      </c>
      <c r="F44" s="66">
        <v>15218</v>
      </c>
      <c r="G44" s="66">
        <v>159</v>
      </c>
      <c r="H44" s="66">
        <v>2763</v>
      </c>
      <c r="I44" s="1">
        <v>0</v>
      </c>
      <c r="J44" s="66">
        <v>1730</v>
      </c>
      <c r="K44" s="66">
        <v>5977</v>
      </c>
      <c r="L44" s="66">
        <v>0</v>
      </c>
      <c r="M44" s="63">
        <v>7350</v>
      </c>
      <c r="N44" s="66">
        <v>6382</v>
      </c>
      <c r="O44" s="117">
        <v>35</v>
      </c>
      <c r="P44" s="118">
        <v>6557</v>
      </c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</row>
    <row r="45" spans="1:39" ht="15" customHeight="1">
      <c r="A45" s="88"/>
      <c r="B45" s="349" t="s">
        <v>258</v>
      </c>
      <c r="C45" s="66"/>
      <c r="D45" s="66"/>
      <c r="E45" s="66"/>
      <c r="F45" s="66"/>
      <c r="G45" s="66"/>
      <c r="H45" s="66"/>
      <c r="I45" s="1"/>
      <c r="J45" s="66"/>
      <c r="K45" s="66"/>
      <c r="L45" s="66"/>
      <c r="M45" s="63"/>
      <c r="N45" s="66"/>
      <c r="O45" s="117"/>
      <c r="P45" s="118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</row>
    <row r="46" spans="1:17" ht="15" customHeight="1">
      <c r="A46" s="138" t="s">
        <v>403</v>
      </c>
      <c r="B46" s="350" t="s">
        <v>4</v>
      </c>
      <c r="C46" s="66">
        <f>SUM(D46:P46)+SUM('6-3鄉預出續'!C46:O46)</f>
        <v>136325</v>
      </c>
      <c r="D46" s="66">
        <v>14722</v>
      </c>
      <c r="E46" s="66">
        <v>17774</v>
      </c>
      <c r="F46" s="66">
        <v>15105</v>
      </c>
      <c r="G46" s="66">
        <v>159</v>
      </c>
      <c r="H46" s="66">
        <v>3488</v>
      </c>
      <c r="I46" s="1">
        <v>0</v>
      </c>
      <c r="J46" s="66">
        <v>1850</v>
      </c>
      <c r="K46" s="66">
        <v>6957</v>
      </c>
      <c r="L46" s="66">
        <v>0</v>
      </c>
      <c r="M46" s="66">
        <v>43531</v>
      </c>
      <c r="N46" s="66">
        <v>6626</v>
      </c>
      <c r="O46" s="66">
        <v>35</v>
      </c>
      <c r="P46" s="66">
        <v>6697</v>
      </c>
      <c r="Q46" s="109"/>
    </row>
    <row r="47" spans="1:17" ht="15" customHeight="1">
      <c r="A47" s="138"/>
      <c r="B47" s="351" t="s">
        <v>219</v>
      </c>
      <c r="C47" s="66"/>
      <c r="D47" s="66"/>
      <c r="E47" s="66"/>
      <c r="F47" s="66"/>
      <c r="G47" s="66"/>
      <c r="H47" s="66"/>
      <c r="I47" s="1"/>
      <c r="J47" s="66"/>
      <c r="K47" s="66"/>
      <c r="L47" s="66"/>
      <c r="M47" s="66"/>
      <c r="N47" s="66"/>
      <c r="O47" s="66"/>
      <c r="P47" s="66"/>
      <c r="Q47" s="109"/>
    </row>
    <row r="48" spans="1:39" ht="15" customHeight="1">
      <c r="A48" s="88" t="s">
        <v>405</v>
      </c>
      <c r="B48" s="348" t="s">
        <v>27</v>
      </c>
      <c r="C48" s="273">
        <f>SUM(D48:P48)+SUM('6-3鄉預出續'!C48:O48)</f>
        <v>102819</v>
      </c>
      <c r="D48" s="66">
        <v>14579</v>
      </c>
      <c r="E48" s="66">
        <v>17315</v>
      </c>
      <c r="F48" s="66">
        <v>16504</v>
      </c>
      <c r="G48" s="66">
        <v>141</v>
      </c>
      <c r="H48" s="66">
        <v>3093</v>
      </c>
      <c r="I48" s="1">
        <v>0</v>
      </c>
      <c r="J48" s="66">
        <v>2059</v>
      </c>
      <c r="K48" s="66">
        <v>8380</v>
      </c>
      <c r="L48" s="66">
        <v>0</v>
      </c>
      <c r="M48" s="63">
        <v>5550</v>
      </c>
      <c r="N48" s="66">
        <v>7288</v>
      </c>
      <c r="O48" s="67">
        <v>35</v>
      </c>
      <c r="P48" s="118">
        <v>6405</v>
      </c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</row>
    <row r="49" spans="1:39" ht="15" customHeight="1">
      <c r="A49" s="88"/>
      <c r="B49" s="349" t="s">
        <v>218</v>
      </c>
      <c r="C49" s="66"/>
      <c r="D49" s="66"/>
      <c r="E49" s="66"/>
      <c r="F49" s="66"/>
      <c r="G49" s="66"/>
      <c r="H49" s="66"/>
      <c r="I49" s="1"/>
      <c r="J49" s="66"/>
      <c r="K49" s="66"/>
      <c r="L49" s="66"/>
      <c r="M49" s="63"/>
      <c r="N49" s="66"/>
      <c r="O49" s="220"/>
      <c r="P49" s="118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</row>
    <row r="50" spans="1:17" ht="15" customHeight="1">
      <c r="A50" s="138" t="s">
        <v>406</v>
      </c>
      <c r="B50" s="350" t="s">
        <v>4</v>
      </c>
      <c r="C50" s="273">
        <f>SUM(D50:P50)+SUM('6-3鄉預出續'!C50:O50)</f>
        <v>102819</v>
      </c>
      <c r="D50" s="66">
        <v>14579</v>
      </c>
      <c r="E50" s="66">
        <v>17315</v>
      </c>
      <c r="F50" s="66">
        <v>16504</v>
      </c>
      <c r="G50" s="66">
        <v>141</v>
      </c>
      <c r="H50" s="66">
        <v>3153</v>
      </c>
      <c r="I50" s="1">
        <v>0</v>
      </c>
      <c r="J50" s="66">
        <v>2059</v>
      </c>
      <c r="K50" s="66">
        <v>8380</v>
      </c>
      <c r="L50" s="66">
        <v>0</v>
      </c>
      <c r="M50" s="66">
        <v>5550</v>
      </c>
      <c r="N50" s="66">
        <v>7288</v>
      </c>
      <c r="O50" s="67">
        <v>35</v>
      </c>
      <c r="P50" s="66">
        <v>6405</v>
      </c>
      <c r="Q50" s="109"/>
    </row>
    <row r="51" spans="1:17" ht="15" customHeight="1">
      <c r="A51" s="76"/>
      <c r="B51" s="351" t="s">
        <v>219</v>
      </c>
      <c r="C51" s="66"/>
      <c r="D51" s="66"/>
      <c r="E51" s="66"/>
      <c r="F51" s="66"/>
      <c r="G51" s="66"/>
      <c r="H51" s="66"/>
      <c r="I51" s="1"/>
      <c r="J51" s="66"/>
      <c r="K51" s="66"/>
      <c r="L51" s="66"/>
      <c r="M51" s="66"/>
      <c r="N51" s="66"/>
      <c r="O51" s="66"/>
      <c r="P51" s="66"/>
      <c r="Q51" s="109"/>
    </row>
    <row r="52" spans="1:17" s="107" customFormat="1" ht="15" customHeight="1" thickBot="1">
      <c r="A52" s="53"/>
      <c r="B52" s="221"/>
      <c r="C52" s="68"/>
      <c r="D52" s="68"/>
      <c r="E52" s="68"/>
      <c r="F52" s="68"/>
      <c r="G52" s="68"/>
      <c r="H52" s="68"/>
      <c r="I52" s="2"/>
      <c r="J52" s="68"/>
      <c r="K52" s="68"/>
      <c r="L52" s="68"/>
      <c r="M52" s="68"/>
      <c r="N52" s="68"/>
      <c r="O52" s="68"/>
      <c r="P52" s="68"/>
      <c r="Q52" s="222"/>
    </row>
    <row r="53" ht="15.75">
      <c r="A53" s="99" t="s">
        <v>456</v>
      </c>
    </row>
  </sheetData>
  <sheetProtection/>
  <mergeCells count="1">
    <mergeCell ref="A5:B5"/>
  </mergeCells>
  <printOptions/>
  <pageMargins left="0.7480314960629921" right="0.7480314960629921" top="0.5905511811023623" bottom="0.55118110236220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51"/>
  <sheetViews>
    <sheetView zoomScale="130" zoomScaleNormal="130" zoomScalePageLayoutView="0" workbookViewId="0" topLeftCell="A1">
      <pane ySplit="6" topLeftCell="A20" activePane="bottomLeft" state="frozen"/>
      <selection pane="topLeft" activeCell="A1" sqref="A1"/>
      <selection pane="bottomLeft" activeCell="C57" sqref="C57"/>
    </sheetView>
  </sheetViews>
  <sheetFormatPr defaultColWidth="9.00390625" defaultRowHeight="16.5"/>
  <cols>
    <col min="1" max="1" width="11.00390625" style="65" customWidth="1"/>
    <col min="2" max="2" width="10.75390625" style="65" customWidth="1"/>
    <col min="3" max="3" width="9.25390625" style="65" customWidth="1"/>
    <col min="4" max="4" width="11.50390625" style="65" customWidth="1"/>
    <col min="5" max="5" width="9.625" style="65" customWidth="1"/>
    <col min="6" max="6" width="10.00390625" style="65" bestFit="1" customWidth="1"/>
    <col min="7" max="7" width="9.75390625" style="65" customWidth="1"/>
    <col min="8" max="8" width="10.125" style="65" customWidth="1"/>
    <col min="9" max="9" width="9.00390625" style="65" customWidth="1"/>
    <col min="10" max="10" width="11.25390625" style="65" bestFit="1" customWidth="1"/>
    <col min="11" max="11" width="10.50390625" style="65" bestFit="1" customWidth="1"/>
    <col min="12" max="12" width="9.375" style="65" bestFit="1" customWidth="1"/>
    <col min="13" max="13" width="11.25390625" style="65" bestFit="1" customWidth="1"/>
    <col min="14" max="14" width="11.625" style="65" customWidth="1"/>
    <col min="15" max="15" width="11.375" style="65" customWidth="1"/>
    <col min="16" max="16" width="11.875" style="65" customWidth="1"/>
    <col min="17" max="16384" width="9.00390625" style="65" customWidth="1"/>
  </cols>
  <sheetData>
    <row r="1" spans="1:39" ht="15.75">
      <c r="A1" s="3" t="s">
        <v>484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4" t="s">
        <v>451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39" ht="22.5" customHeight="1">
      <c r="A2" s="112" t="s">
        <v>472</v>
      </c>
      <c r="B2" s="112"/>
      <c r="C2" s="112"/>
      <c r="D2" s="112"/>
      <c r="E2" s="112"/>
      <c r="F2" s="112"/>
      <c r="G2" s="112"/>
      <c r="H2" s="112"/>
      <c r="I2" s="195" t="s">
        <v>485</v>
      </c>
      <c r="J2" s="113"/>
      <c r="K2" s="113"/>
      <c r="L2" s="113"/>
      <c r="M2" s="113"/>
      <c r="N2" s="112"/>
      <c r="O2" s="102"/>
      <c r="P2" s="102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ht="15" customHeight="1">
      <c r="A3" s="115" t="s">
        <v>244</v>
      </c>
      <c r="B3" s="116"/>
      <c r="C3" s="112"/>
      <c r="D3" s="112"/>
      <c r="E3" s="112"/>
      <c r="F3" s="112"/>
      <c r="G3" s="112"/>
      <c r="H3" s="112"/>
      <c r="I3" s="115" t="s">
        <v>246</v>
      </c>
      <c r="J3" s="113"/>
      <c r="K3" s="113"/>
      <c r="L3" s="113"/>
      <c r="M3" s="113"/>
      <c r="N3" s="112"/>
      <c r="O3" s="102"/>
      <c r="P3" s="108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4" spans="1:39" ht="13.5" customHeight="1" thickBot="1">
      <c r="A4" s="74" t="s">
        <v>231</v>
      </c>
      <c r="C4" s="74"/>
      <c r="D4" s="74"/>
      <c r="E4" s="74"/>
      <c r="F4" s="74"/>
      <c r="I4" s="73"/>
      <c r="K4" s="74"/>
      <c r="L4" s="74"/>
      <c r="M4" s="74"/>
      <c r="N4" s="74"/>
      <c r="O4" s="74"/>
      <c r="P4" s="103" t="s">
        <v>0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2.5" customHeight="1">
      <c r="A5" s="328" t="s">
        <v>194</v>
      </c>
      <c r="B5" s="342"/>
      <c r="C5" s="150" t="s">
        <v>232</v>
      </c>
      <c r="D5" s="150" t="s">
        <v>516</v>
      </c>
      <c r="E5" s="150" t="s">
        <v>233</v>
      </c>
      <c r="F5" s="150" t="s">
        <v>234</v>
      </c>
      <c r="G5" s="150" t="s">
        <v>240</v>
      </c>
      <c r="H5" s="150" t="s">
        <v>241</v>
      </c>
      <c r="I5" s="159" t="s">
        <v>242</v>
      </c>
      <c r="J5" s="150" t="s">
        <v>243</v>
      </c>
      <c r="K5" s="150" t="s">
        <v>44</v>
      </c>
      <c r="L5" s="150" t="s">
        <v>235</v>
      </c>
      <c r="M5" s="150" t="s">
        <v>236</v>
      </c>
      <c r="N5" s="150" t="s">
        <v>239</v>
      </c>
      <c r="O5" s="150" t="s">
        <v>238</v>
      </c>
      <c r="P5" s="150" t="s">
        <v>237</v>
      </c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39" ht="39" customHeight="1" thickBot="1">
      <c r="A6" s="181" t="s">
        <v>223</v>
      </c>
      <c r="B6" s="123"/>
      <c r="C6" s="154" t="s">
        <v>206</v>
      </c>
      <c r="D6" s="152" t="s">
        <v>136</v>
      </c>
      <c r="E6" s="153" t="s">
        <v>247</v>
      </c>
      <c r="F6" s="152" t="s">
        <v>248</v>
      </c>
      <c r="G6" s="152" t="s">
        <v>249</v>
      </c>
      <c r="H6" s="154" t="s">
        <v>250</v>
      </c>
      <c r="I6" s="152" t="s">
        <v>251</v>
      </c>
      <c r="J6" s="152" t="s">
        <v>252</v>
      </c>
      <c r="K6" s="152" t="s">
        <v>253</v>
      </c>
      <c r="L6" s="152" t="s">
        <v>254</v>
      </c>
      <c r="M6" s="152" t="s">
        <v>255</v>
      </c>
      <c r="N6" s="152" t="s">
        <v>152</v>
      </c>
      <c r="O6" s="152" t="s">
        <v>256</v>
      </c>
      <c r="P6" s="152" t="s">
        <v>257</v>
      </c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ht="15" customHeight="1" hidden="1">
      <c r="A7" s="88" t="s">
        <v>405</v>
      </c>
      <c r="B7" s="59" t="s">
        <v>27</v>
      </c>
      <c r="C7" s="66">
        <f>SUM(D7:P7)+SUM('6-3-1鄉預出續'!C7:O7)</f>
        <v>102819</v>
      </c>
      <c r="D7" s="66">
        <v>14579</v>
      </c>
      <c r="E7" s="66">
        <v>17315</v>
      </c>
      <c r="F7" s="66">
        <v>16504</v>
      </c>
      <c r="G7" s="66">
        <v>141</v>
      </c>
      <c r="H7" s="66">
        <v>3093</v>
      </c>
      <c r="I7" s="1">
        <v>0</v>
      </c>
      <c r="J7" s="66">
        <v>2059</v>
      </c>
      <c r="K7" s="66">
        <v>8380</v>
      </c>
      <c r="L7" s="66">
        <v>0</v>
      </c>
      <c r="M7" s="63">
        <v>5550</v>
      </c>
      <c r="N7" s="66">
        <v>7288</v>
      </c>
      <c r="O7" s="67">
        <v>35</v>
      </c>
      <c r="P7" s="118">
        <v>6405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</row>
    <row r="8" spans="1:39" ht="15" customHeight="1" hidden="1">
      <c r="A8" s="88"/>
      <c r="B8" s="158" t="s">
        <v>258</v>
      </c>
      <c r="C8" s="66"/>
      <c r="D8" s="66"/>
      <c r="E8" s="66"/>
      <c r="F8" s="66"/>
      <c r="G8" s="66"/>
      <c r="H8" s="66"/>
      <c r="I8" s="1"/>
      <c r="J8" s="66"/>
      <c r="K8" s="66"/>
      <c r="L8" s="66"/>
      <c r="M8" s="63"/>
      <c r="N8" s="66"/>
      <c r="O8" s="220"/>
      <c r="P8" s="118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</row>
    <row r="9" spans="1:17" ht="15" customHeight="1" hidden="1">
      <c r="A9" s="138" t="s">
        <v>406</v>
      </c>
      <c r="B9" s="89" t="s">
        <v>4</v>
      </c>
      <c r="C9" s="66">
        <f>SUM(D9:P9)+SUM('6-3-1鄉預出續'!C9:O9)</f>
        <v>102819</v>
      </c>
      <c r="D9" s="66">
        <v>14579</v>
      </c>
      <c r="E9" s="66">
        <v>17315</v>
      </c>
      <c r="F9" s="66">
        <v>16504</v>
      </c>
      <c r="G9" s="66">
        <v>141</v>
      </c>
      <c r="H9" s="66">
        <v>3153</v>
      </c>
      <c r="I9" s="1">
        <v>0</v>
      </c>
      <c r="J9" s="66">
        <v>2059</v>
      </c>
      <c r="K9" s="66">
        <v>8380</v>
      </c>
      <c r="L9" s="66">
        <v>0</v>
      </c>
      <c r="M9" s="66">
        <v>5550</v>
      </c>
      <c r="N9" s="66">
        <v>7288</v>
      </c>
      <c r="O9" s="67">
        <v>35</v>
      </c>
      <c r="P9" s="66">
        <v>6405</v>
      </c>
      <c r="Q9" s="109"/>
    </row>
    <row r="10" spans="1:17" ht="15" customHeight="1" hidden="1">
      <c r="A10" s="76"/>
      <c r="B10" s="188" t="s">
        <v>259</v>
      </c>
      <c r="C10" s="66"/>
      <c r="D10" s="66"/>
      <c r="E10" s="66"/>
      <c r="F10" s="66"/>
      <c r="G10" s="66"/>
      <c r="H10" s="66"/>
      <c r="I10" s="1"/>
      <c r="J10" s="66"/>
      <c r="K10" s="66"/>
      <c r="L10" s="66"/>
      <c r="M10" s="66"/>
      <c r="N10" s="66"/>
      <c r="O10" s="66"/>
      <c r="P10" s="66"/>
      <c r="Q10" s="109"/>
    </row>
    <row r="11" spans="1:39" ht="15" customHeight="1">
      <c r="A11" s="88" t="s">
        <v>414</v>
      </c>
      <c r="B11" s="348" t="s">
        <v>27</v>
      </c>
      <c r="C11" s="66">
        <f>SUM(D11:P11)+SUM('6-3-1鄉預出續'!C12:O12)</f>
        <v>101293</v>
      </c>
      <c r="D11" s="66">
        <f>13983+500</f>
        <v>14483</v>
      </c>
      <c r="E11" s="66">
        <f>14561+1045</f>
        <v>15606</v>
      </c>
      <c r="F11" s="66">
        <v>18256</v>
      </c>
      <c r="G11" s="66">
        <v>141</v>
      </c>
      <c r="H11" s="66">
        <v>2372</v>
      </c>
      <c r="I11" s="1">
        <v>0</v>
      </c>
      <c r="J11" s="66">
        <v>2844</v>
      </c>
      <c r="K11" s="66">
        <v>8596</v>
      </c>
      <c r="L11" s="66">
        <v>0</v>
      </c>
      <c r="M11" s="63">
        <f>4835+5550</f>
        <v>10385</v>
      </c>
      <c r="N11" s="66">
        <f>1852+250</f>
        <v>2102</v>
      </c>
      <c r="O11" s="67">
        <v>0</v>
      </c>
      <c r="P11" s="118">
        <v>6671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</row>
    <row r="12" spans="1:39" ht="15" customHeight="1">
      <c r="A12" s="88"/>
      <c r="B12" s="349" t="s">
        <v>258</v>
      </c>
      <c r="C12" s="66"/>
      <c r="D12" s="66"/>
      <c r="E12" s="66"/>
      <c r="F12" s="66"/>
      <c r="G12" s="66"/>
      <c r="H12" s="66"/>
      <c r="I12" s="1"/>
      <c r="J12" s="66"/>
      <c r="K12" s="66"/>
      <c r="L12" s="66"/>
      <c r="M12" s="63"/>
      <c r="N12" s="66"/>
      <c r="O12" s="220"/>
      <c r="P12" s="118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17" ht="15" customHeight="1">
      <c r="A13" s="138" t="s">
        <v>415</v>
      </c>
      <c r="B13" s="350" t="s">
        <v>4</v>
      </c>
      <c r="C13" s="66">
        <f>SUM(D13:P13)+SUM('6-3-1鄉預出續'!C14:O14)</f>
        <v>258816</v>
      </c>
      <c r="D13" s="66">
        <f>14068+500</f>
        <v>14568</v>
      </c>
      <c r="E13" s="66">
        <f>15751+845</f>
        <v>16596</v>
      </c>
      <c r="F13" s="66">
        <f>27119.4+421</f>
        <v>27540.4</v>
      </c>
      <c r="G13" s="66">
        <v>106</v>
      </c>
      <c r="H13" s="66">
        <v>3262</v>
      </c>
      <c r="I13" s="1">
        <v>0</v>
      </c>
      <c r="J13" s="66">
        <v>3514</v>
      </c>
      <c r="K13" s="66">
        <f>22224+2583</f>
        <v>24807</v>
      </c>
      <c r="L13" s="66">
        <v>0</v>
      </c>
      <c r="M13" s="66">
        <f>4835+104890</f>
        <v>109725</v>
      </c>
      <c r="N13" s="66">
        <f>1964+13346</f>
        <v>15310</v>
      </c>
      <c r="O13" s="67">
        <v>0</v>
      </c>
      <c r="P13" s="66">
        <v>16509</v>
      </c>
      <c r="Q13" s="109"/>
    </row>
    <row r="14" spans="1:17" ht="15" customHeight="1">
      <c r="A14" s="76"/>
      <c r="B14" s="351" t="s">
        <v>259</v>
      </c>
      <c r="C14" s="66"/>
      <c r="D14" s="66"/>
      <c r="E14" s="66"/>
      <c r="F14" s="66"/>
      <c r="G14" s="66"/>
      <c r="H14" s="66"/>
      <c r="I14" s="1"/>
      <c r="J14" s="66"/>
      <c r="K14" s="66"/>
      <c r="L14" s="66"/>
      <c r="M14" s="66"/>
      <c r="N14" s="66"/>
      <c r="O14" s="66"/>
      <c r="P14" s="66"/>
      <c r="Q14" s="109"/>
    </row>
    <row r="15" spans="1:39" s="227" customFormat="1" ht="15" customHeight="1">
      <c r="A15" s="229" t="s">
        <v>421</v>
      </c>
      <c r="B15" s="352" t="s">
        <v>27</v>
      </c>
      <c r="C15" s="67">
        <f>SUM(D15:P15)+SUM('6-3-1鄉預出續'!C16:O16)</f>
        <v>140486</v>
      </c>
      <c r="D15" s="67">
        <f>14189+1000</f>
        <v>15189</v>
      </c>
      <c r="E15" s="67">
        <f>14872+893</f>
        <v>15765</v>
      </c>
      <c r="F15" s="67">
        <v>18763</v>
      </c>
      <c r="G15" s="67">
        <v>95</v>
      </c>
      <c r="H15" s="67">
        <v>3470</v>
      </c>
      <c r="I15" s="233">
        <v>0</v>
      </c>
      <c r="J15" s="67">
        <v>3826</v>
      </c>
      <c r="K15" s="67">
        <v>10616</v>
      </c>
      <c r="L15" s="67">
        <v>0</v>
      </c>
      <c r="M15" s="64">
        <f>4812+3550</f>
        <v>8362</v>
      </c>
      <c r="N15" s="67">
        <f>1725+32250</f>
        <v>33975</v>
      </c>
      <c r="O15" s="67">
        <v>0</v>
      </c>
      <c r="P15" s="240">
        <v>6713</v>
      </c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</row>
    <row r="16" spans="1:39" s="227" customFormat="1" ht="15" customHeight="1">
      <c r="A16" s="229"/>
      <c r="B16" s="353" t="s">
        <v>258</v>
      </c>
      <c r="C16" s="67"/>
      <c r="D16" s="67"/>
      <c r="E16" s="67"/>
      <c r="F16" s="67"/>
      <c r="G16" s="67"/>
      <c r="H16" s="67"/>
      <c r="I16" s="233"/>
      <c r="J16" s="67"/>
      <c r="K16" s="67"/>
      <c r="L16" s="67"/>
      <c r="M16" s="64"/>
      <c r="N16" s="67"/>
      <c r="O16" s="220"/>
      <c r="P16" s="240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</row>
    <row r="17" spans="1:17" s="227" customFormat="1" ht="15" customHeight="1">
      <c r="A17" s="228" t="s">
        <v>422</v>
      </c>
      <c r="B17" s="354" t="s">
        <v>4</v>
      </c>
      <c r="C17" s="67">
        <f>SUM(D17:P17)+SUM('6-3-1鄉預出續'!C18:O18)</f>
        <v>201597</v>
      </c>
      <c r="D17" s="67">
        <f>14269+1000</f>
        <v>15269</v>
      </c>
      <c r="E17" s="67">
        <f>14743.316+893</f>
        <v>15636.316</v>
      </c>
      <c r="F17" s="67">
        <f>22553+800</f>
        <v>23353</v>
      </c>
      <c r="G17" s="67">
        <v>95</v>
      </c>
      <c r="H17" s="67">
        <v>3666.5</v>
      </c>
      <c r="I17" s="233">
        <v>0</v>
      </c>
      <c r="J17" s="67">
        <f>4315+140</f>
        <v>4455</v>
      </c>
      <c r="K17" s="67">
        <f>21666.25+8042</f>
        <v>29708.25</v>
      </c>
      <c r="L17" s="67">
        <v>0</v>
      </c>
      <c r="M17" s="67">
        <f>4812+63093</f>
        <v>67905</v>
      </c>
      <c r="N17" s="67">
        <f>2025+7218</f>
        <v>9243</v>
      </c>
      <c r="O17" s="67">
        <v>0</v>
      </c>
      <c r="P17" s="67">
        <v>6746</v>
      </c>
      <c r="Q17" s="242"/>
    </row>
    <row r="18" spans="1:17" ht="15" customHeight="1">
      <c r="A18" s="76"/>
      <c r="B18" s="351" t="s">
        <v>259</v>
      </c>
      <c r="C18" s="66"/>
      <c r="D18" s="66"/>
      <c r="E18" s="66"/>
      <c r="F18" s="66"/>
      <c r="G18" s="66"/>
      <c r="H18" s="66"/>
      <c r="I18" s="1"/>
      <c r="J18" s="66"/>
      <c r="K18" s="66"/>
      <c r="L18" s="66"/>
      <c r="M18" s="66"/>
      <c r="N18" s="66"/>
      <c r="O18" s="66"/>
      <c r="P18" s="66"/>
      <c r="Q18" s="109"/>
    </row>
    <row r="19" spans="1:17" ht="15" customHeight="1">
      <c r="A19" s="229" t="s">
        <v>434</v>
      </c>
      <c r="B19" s="352" t="s">
        <v>27</v>
      </c>
      <c r="C19" s="67">
        <f>SUM(D19:P19)+SUM('6-3-1鄉預出續'!C20:O20)</f>
        <v>130907</v>
      </c>
      <c r="D19" s="67">
        <v>15339</v>
      </c>
      <c r="E19" s="67">
        <v>15408</v>
      </c>
      <c r="F19" s="67">
        <v>26739</v>
      </c>
      <c r="G19" s="67">
        <v>122</v>
      </c>
      <c r="H19" s="67">
        <v>2609</v>
      </c>
      <c r="I19" s="233">
        <v>0</v>
      </c>
      <c r="J19" s="67">
        <v>3347</v>
      </c>
      <c r="K19" s="67">
        <v>11717</v>
      </c>
      <c r="L19" s="67">
        <v>0</v>
      </c>
      <c r="M19" s="64">
        <v>9412</v>
      </c>
      <c r="N19" s="67">
        <v>17112</v>
      </c>
      <c r="O19" s="67">
        <v>0</v>
      </c>
      <c r="P19" s="240">
        <v>6962</v>
      </c>
      <c r="Q19" s="109"/>
    </row>
    <row r="20" spans="1:17" ht="15" customHeight="1">
      <c r="A20" s="229"/>
      <c r="B20" s="353" t="s">
        <v>258</v>
      </c>
      <c r="C20" s="67"/>
      <c r="D20" s="67"/>
      <c r="E20" s="67"/>
      <c r="F20" s="67"/>
      <c r="G20" s="67"/>
      <c r="H20" s="67"/>
      <c r="I20" s="233"/>
      <c r="J20" s="67"/>
      <c r="K20" s="67"/>
      <c r="L20" s="67"/>
      <c r="M20" s="64"/>
      <c r="N20" s="67"/>
      <c r="O20" s="220"/>
      <c r="P20" s="240"/>
      <c r="Q20" s="109"/>
    </row>
    <row r="21" spans="1:17" ht="15" customHeight="1">
      <c r="A21" s="228" t="s">
        <v>437</v>
      </c>
      <c r="B21" s="354" t="s">
        <v>4</v>
      </c>
      <c r="C21" s="67">
        <f>SUM(D21:P21)+SUM('6-3-1鄉預出續'!C22:O22)</f>
        <v>234558</v>
      </c>
      <c r="D21" s="67">
        <v>15573</v>
      </c>
      <c r="E21" s="67">
        <v>15404</v>
      </c>
      <c r="F21" s="67">
        <v>30351</v>
      </c>
      <c r="G21" s="67">
        <v>127</v>
      </c>
      <c r="H21" s="67">
        <v>3834</v>
      </c>
      <c r="I21" s="233">
        <v>0</v>
      </c>
      <c r="J21" s="67">
        <v>13956</v>
      </c>
      <c r="K21" s="67">
        <v>25017</v>
      </c>
      <c r="L21" s="67">
        <v>0</v>
      </c>
      <c r="M21" s="67">
        <v>98790</v>
      </c>
      <c r="N21" s="67">
        <v>1212</v>
      </c>
      <c r="O21" s="67">
        <v>0</v>
      </c>
      <c r="P21" s="67">
        <v>7375</v>
      </c>
      <c r="Q21" s="109"/>
    </row>
    <row r="22" spans="1:17" ht="15" customHeight="1">
      <c r="A22" s="76"/>
      <c r="B22" s="351" t="s">
        <v>259</v>
      </c>
      <c r="C22" s="66"/>
      <c r="D22" s="66"/>
      <c r="E22" s="66"/>
      <c r="F22" s="66"/>
      <c r="G22" s="66"/>
      <c r="H22" s="66"/>
      <c r="I22" s="1"/>
      <c r="J22" s="66"/>
      <c r="K22" s="66"/>
      <c r="L22" s="66"/>
      <c r="M22" s="66"/>
      <c r="N22" s="66"/>
      <c r="O22" s="66"/>
      <c r="P22" s="66"/>
      <c r="Q22" s="109"/>
    </row>
    <row r="23" spans="1:17" ht="15" customHeight="1">
      <c r="A23" s="229" t="s">
        <v>438</v>
      </c>
      <c r="B23" s="352" t="s">
        <v>27</v>
      </c>
      <c r="C23" s="67">
        <f>SUM(D23:P23)+SUM('6-3-1鄉預出續'!C24:O24)</f>
        <v>139117</v>
      </c>
      <c r="D23" s="67">
        <v>17517</v>
      </c>
      <c r="E23" s="67">
        <v>16107</v>
      </c>
      <c r="F23" s="67">
        <v>22158</v>
      </c>
      <c r="G23" s="67">
        <v>161</v>
      </c>
      <c r="H23" s="67">
        <v>4934</v>
      </c>
      <c r="I23" s="233">
        <v>0</v>
      </c>
      <c r="J23" s="67">
        <v>3449</v>
      </c>
      <c r="K23" s="67">
        <v>13807</v>
      </c>
      <c r="L23" s="67">
        <v>0</v>
      </c>
      <c r="M23" s="64">
        <v>8279</v>
      </c>
      <c r="N23" s="67">
        <v>22672</v>
      </c>
      <c r="O23" s="67">
        <v>0</v>
      </c>
      <c r="P23" s="240">
        <v>6858</v>
      </c>
      <c r="Q23" s="109"/>
    </row>
    <row r="24" spans="1:17" ht="15" customHeight="1">
      <c r="A24" s="229"/>
      <c r="B24" s="353" t="s">
        <v>258</v>
      </c>
      <c r="C24" s="67"/>
      <c r="D24" s="67"/>
      <c r="E24" s="67"/>
      <c r="F24" s="67"/>
      <c r="G24" s="67"/>
      <c r="H24" s="67"/>
      <c r="I24" s="233"/>
      <c r="J24" s="67"/>
      <c r="K24" s="67"/>
      <c r="L24" s="67"/>
      <c r="M24" s="64"/>
      <c r="N24" s="67"/>
      <c r="O24" s="220"/>
      <c r="P24" s="240"/>
      <c r="Q24" s="109"/>
    </row>
    <row r="25" spans="1:17" ht="15" customHeight="1">
      <c r="A25" s="228" t="s">
        <v>440</v>
      </c>
      <c r="B25" s="354" t="s">
        <v>4</v>
      </c>
      <c r="C25" s="67">
        <f>SUM(D25:P25)+SUM('6-3-1鄉預出續'!C26:O26)</f>
        <v>220882</v>
      </c>
      <c r="D25" s="67">
        <v>17617</v>
      </c>
      <c r="E25" s="67">
        <v>17208</v>
      </c>
      <c r="F25" s="67">
        <v>29127.485</v>
      </c>
      <c r="G25" s="67">
        <v>161</v>
      </c>
      <c r="H25" s="67">
        <v>11130</v>
      </c>
      <c r="I25" s="233">
        <v>0</v>
      </c>
      <c r="J25" s="67">
        <v>4779</v>
      </c>
      <c r="K25" s="67">
        <v>28287.5</v>
      </c>
      <c r="L25" s="67">
        <v>0</v>
      </c>
      <c r="M25" s="67">
        <v>60090</v>
      </c>
      <c r="N25" s="67">
        <v>21837</v>
      </c>
      <c r="O25" s="67">
        <v>339</v>
      </c>
      <c r="P25" s="67">
        <v>6868</v>
      </c>
      <c r="Q25" s="109"/>
    </row>
    <row r="26" spans="1:17" ht="15" customHeight="1">
      <c r="A26" s="76"/>
      <c r="B26" s="351" t="s">
        <v>259</v>
      </c>
      <c r="C26" s="66"/>
      <c r="D26" s="66"/>
      <c r="E26" s="66"/>
      <c r="F26" s="66"/>
      <c r="G26" s="66"/>
      <c r="H26" s="66"/>
      <c r="I26" s="1"/>
      <c r="J26" s="66"/>
      <c r="K26" s="66"/>
      <c r="L26" s="66"/>
      <c r="M26" s="66"/>
      <c r="N26" s="66"/>
      <c r="O26" s="66"/>
      <c r="P26" s="66"/>
      <c r="Q26" s="109"/>
    </row>
    <row r="27" spans="1:17" s="227" customFormat="1" ht="15" customHeight="1">
      <c r="A27" s="229" t="s">
        <v>460</v>
      </c>
      <c r="B27" s="352" t="s">
        <v>27</v>
      </c>
      <c r="C27" s="67">
        <f>SUM(D27:P27)+SUM('6-3-1鄉預出續'!C28:O28)</f>
        <v>158164</v>
      </c>
      <c r="D27" s="67">
        <f>15779+63</f>
        <v>15842</v>
      </c>
      <c r="E27" s="67">
        <f>15309+1513</f>
        <v>16822</v>
      </c>
      <c r="F27" s="67">
        <f>23147+5440</f>
        <v>28587</v>
      </c>
      <c r="G27" s="67">
        <v>165</v>
      </c>
      <c r="H27" s="67">
        <v>4179</v>
      </c>
      <c r="I27" s="233">
        <v>0</v>
      </c>
      <c r="J27" s="67">
        <v>3469</v>
      </c>
      <c r="K27" s="67">
        <v>14711</v>
      </c>
      <c r="L27" s="67">
        <v>0</v>
      </c>
      <c r="M27" s="67">
        <f>4679+15770</f>
        <v>20449</v>
      </c>
      <c r="N27" s="67">
        <f>923+20750</f>
        <v>21673</v>
      </c>
      <c r="O27" s="67">
        <v>349</v>
      </c>
      <c r="P27" s="67">
        <v>7360</v>
      </c>
      <c r="Q27" s="242"/>
    </row>
    <row r="28" spans="1:17" ht="15" customHeight="1">
      <c r="A28" s="229"/>
      <c r="B28" s="353" t="s">
        <v>258</v>
      </c>
      <c r="C28" s="67"/>
      <c r="D28" s="66"/>
      <c r="E28" s="66"/>
      <c r="F28" s="66"/>
      <c r="G28" s="66"/>
      <c r="H28" s="66"/>
      <c r="I28" s="1"/>
      <c r="J28" s="66"/>
      <c r="K28" s="66"/>
      <c r="L28" s="66"/>
      <c r="M28" s="66"/>
      <c r="N28" s="66"/>
      <c r="O28" s="66"/>
      <c r="P28" s="66"/>
      <c r="Q28" s="109"/>
    </row>
    <row r="29" spans="1:17" ht="15" customHeight="1">
      <c r="A29" s="228" t="s">
        <v>461</v>
      </c>
      <c r="B29" s="354" t="s">
        <v>4</v>
      </c>
      <c r="C29" s="67">
        <f>SUM(D29:P29)+SUM('6-3-1鄉預出續'!C30:O30)</f>
        <v>308759</v>
      </c>
      <c r="D29" s="66">
        <f>15779+6063</f>
        <v>21842</v>
      </c>
      <c r="E29" s="66">
        <f>15319.5+3413</f>
        <v>18732.5</v>
      </c>
      <c r="F29" s="66">
        <f>26830.672+90591</f>
        <v>117421.67199999999</v>
      </c>
      <c r="G29" s="66">
        <v>165</v>
      </c>
      <c r="H29" s="66">
        <v>4960</v>
      </c>
      <c r="I29" s="1">
        <v>0</v>
      </c>
      <c r="J29" s="66">
        <f>4331.406+8</f>
        <v>4339.406</v>
      </c>
      <c r="K29" s="66">
        <f>17902.134+3600</f>
        <v>21502.134</v>
      </c>
      <c r="L29" s="66">
        <v>0</v>
      </c>
      <c r="M29" s="66">
        <f>5019+76331.636</f>
        <v>81350.636</v>
      </c>
      <c r="N29" s="66">
        <f>923+5250</f>
        <v>6173</v>
      </c>
      <c r="O29" s="66">
        <v>349</v>
      </c>
      <c r="P29" s="66">
        <v>7410</v>
      </c>
      <c r="Q29" s="109"/>
    </row>
    <row r="30" spans="1:17" ht="15" customHeight="1">
      <c r="A30" s="76"/>
      <c r="B30" s="351" t="s">
        <v>259</v>
      </c>
      <c r="C30" s="66"/>
      <c r="D30" s="66"/>
      <c r="E30" s="66"/>
      <c r="F30" s="66"/>
      <c r="G30" s="66"/>
      <c r="H30" s="66"/>
      <c r="I30" s="1"/>
      <c r="J30" s="66"/>
      <c r="K30" s="66"/>
      <c r="L30" s="66"/>
      <c r="M30" s="66"/>
      <c r="N30" s="66"/>
      <c r="O30" s="66"/>
      <c r="P30" s="66"/>
      <c r="Q30" s="109"/>
    </row>
    <row r="31" spans="1:17" s="227" customFormat="1" ht="15" customHeight="1">
      <c r="A31" s="229" t="s">
        <v>470</v>
      </c>
      <c r="B31" s="352" t="s">
        <v>27</v>
      </c>
      <c r="C31" s="67">
        <f>SUM(D31:P31)+SUM('6-3-1鄉預出續'!C32:O32)</f>
        <v>152009</v>
      </c>
      <c r="D31" s="67">
        <f>15756+3635</f>
        <v>19391</v>
      </c>
      <c r="E31" s="67">
        <f>15352+2600</f>
        <v>17952</v>
      </c>
      <c r="F31" s="67">
        <f>20018+2680</f>
        <v>22698</v>
      </c>
      <c r="G31" s="67">
        <v>178</v>
      </c>
      <c r="H31" s="67">
        <v>7558</v>
      </c>
      <c r="I31" s="233">
        <v>0</v>
      </c>
      <c r="J31" s="67">
        <f>4991+3000</f>
        <v>7991</v>
      </c>
      <c r="K31" s="67">
        <f>13204+1600</f>
        <v>14804</v>
      </c>
      <c r="L31" s="67">
        <v>0</v>
      </c>
      <c r="M31" s="67">
        <f>5255+4910</f>
        <v>10165</v>
      </c>
      <c r="N31" s="67">
        <f>923+21250</f>
        <v>22173</v>
      </c>
      <c r="O31" s="67">
        <v>376</v>
      </c>
      <c r="P31" s="67">
        <v>7479</v>
      </c>
      <c r="Q31" s="242"/>
    </row>
    <row r="32" spans="1:17" ht="15" customHeight="1">
      <c r="A32" s="229"/>
      <c r="B32" s="353" t="s">
        <v>258</v>
      </c>
      <c r="C32" s="67"/>
      <c r="D32" s="66"/>
      <c r="E32" s="66"/>
      <c r="F32" s="66"/>
      <c r="G32" s="66"/>
      <c r="H32" s="66"/>
      <c r="I32" s="1"/>
      <c r="J32" s="66"/>
      <c r="K32" s="66"/>
      <c r="L32" s="66"/>
      <c r="M32" s="66"/>
      <c r="N32" s="66"/>
      <c r="O32" s="66"/>
      <c r="P32" s="66"/>
      <c r="Q32" s="109"/>
    </row>
    <row r="33" spans="1:17" ht="15" customHeight="1">
      <c r="A33" s="228" t="s">
        <v>471</v>
      </c>
      <c r="B33" s="354" t="s">
        <v>4</v>
      </c>
      <c r="C33" s="67">
        <f>SUM(D33:P33)+SUM('6-3-1鄉預出續'!C34:O34)</f>
        <v>213898</v>
      </c>
      <c r="D33" s="66">
        <f>15756+3635</f>
        <v>19391</v>
      </c>
      <c r="E33" s="66">
        <f>15350+2600</f>
        <v>17950</v>
      </c>
      <c r="F33" s="66">
        <f>22974+25397</f>
        <v>48371</v>
      </c>
      <c r="G33" s="66">
        <v>178</v>
      </c>
      <c r="H33" s="66">
        <v>9347</v>
      </c>
      <c r="I33" s="1">
        <v>0</v>
      </c>
      <c r="J33" s="66">
        <f>6153+3074</f>
        <v>9227</v>
      </c>
      <c r="K33" s="66">
        <f>17267+4635</f>
        <v>21902</v>
      </c>
      <c r="L33" s="66">
        <v>0</v>
      </c>
      <c r="M33" s="66">
        <f>5255+18798</f>
        <v>24053</v>
      </c>
      <c r="N33" s="66">
        <f>1010.23+28953</f>
        <v>29963.23</v>
      </c>
      <c r="O33" s="66">
        <v>376</v>
      </c>
      <c r="P33" s="66">
        <v>7458</v>
      </c>
      <c r="Q33" s="109"/>
    </row>
    <row r="34" spans="1:17" ht="15" customHeight="1">
      <c r="A34" s="76"/>
      <c r="B34" s="351" t="s">
        <v>259</v>
      </c>
      <c r="C34" s="66"/>
      <c r="D34" s="66"/>
      <c r="E34" s="66"/>
      <c r="F34" s="66"/>
      <c r="G34" s="66"/>
      <c r="H34" s="66"/>
      <c r="I34" s="1"/>
      <c r="J34" s="66"/>
      <c r="K34" s="66"/>
      <c r="L34" s="66"/>
      <c r="M34" s="66"/>
      <c r="N34" s="66"/>
      <c r="O34" s="66"/>
      <c r="P34" s="66"/>
      <c r="Q34" s="109"/>
    </row>
    <row r="35" spans="1:17" s="227" customFormat="1" ht="15" customHeight="1">
      <c r="A35" s="229" t="s">
        <v>497</v>
      </c>
      <c r="B35" s="352" t="s">
        <v>27</v>
      </c>
      <c r="C35" s="67">
        <f>SUM(D35:P35)+SUM('6-3-1鄉預出續'!C36:O36)</f>
        <v>171060</v>
      </c>
      <c r="D35" s="67">
        <f>15786+1820</f>
        <v>17606</v>
      </c>
      <c r="E35" s="67">
        <f>15529+1000</f>
        <v>16529</v>
      </c>
      <c r="F35" s="67">
        <f>18119+1940</f>
        <v>20059</v>
      </c>
      <c r="G35" s="67">
        <v>158</v>
      </c>
      <c r="H35" s="67">
        <f>10331+25</f>
        <v>10356</v>
      </c>
      <c r="I35" s="233">
        <v>0</v>
      </c>
      <c r="J35" s="67">
        <f>6383+3684</f>
        <v>10067</v>
      </c>
      <c r="K35" s="67">
        <f>21661+6310</f>
        <v>27971</v>
      </c>
      <c r="L35" s="67">
        <v>0</v>
      </c>
      <c r="M35" s="67">
        <f>5255+4750</f>
        <v>10005</v>
      </c>
      <c r="N35" s="67">
        <f>1479+22250</f>
        <v>23729</v>
      </c>
      <c r="O35" s="67">
        <v>376</v>
      </c>
      <c r="P35" s="67">
        <v>10961</v>
      </c>
      <c r="Q35" s="242"/>
    </row>
    <row r="36" spans="1:17" ht="15" customHeight="1">
      <c r="A36" s="229"/>
      <c r="B36" s="353" t="s">
        <v>218</v>
      </c>
      <c r="C36" s="67"/>
      <c r="D36" s="66"/>
      <c r="E36" s="66"/>
      <c r="F36" s="66"/>
      <c r="G36" s="66"/>
      <c r="H36" s="66"/>
      <c r="I36" s="1"/>
      <c r="J36" s="66"/>
      <c r="K36" s="66"/>
      <c r="L36" s="66"/>
      <c r="M36" s="66"/>
      <c r="N36" s="66"/>
      <c r="O36" s="66"/>
      <c r="P36" s="66"/>
      <c r="Q36" s="109"/>
    </row>
    <row r="37" spans="1:17" ht="15" customHeight="1">
      <c r="A37" s="228" t="s">
        <v>498</v>
      </c>
      <c r="B37" s="354" t="s">
        <v>4</v>
      </c>
      <c r="C37" s="67">
        <f>SUM(D37:P37)+SUM('6-3-1鄉預出續'!C38:O38)</f>
        <v>233754</v>
      </c>
      <c r="D37" s="66">
        <f>16200+1918</f>
        <v>18118</v>
      </c>
      <c r="E37" s="66">
        <f>16291.923+1000</f>
        <v>17291.923000000003</v>
      </c>
      <c r="F37" s="66">
        <f>19609.319+9343</f>
        <v>28952.319</v>
      </c>
      <c r="G37" s="66">
        <v>158</v>
      </c>
      <c r="H37" s="66">
        <f>11093+25</f>
        <v>11118</v>
      </c>
      <c r="I37" s="1">
        <v>0</v>
      </c>
      <c r="J37" s="66">
        <f>6854.633+3693</f>
        <v>10547.633</v>
      </c>
      <c r="K37" s="66">
        <f>28189+14481.9</f>
        <v>42670.9</v>
      </c>
      <c r="L37" s="66">
        <v>0</v>
      </c>
      <c r="M37" s="66">
        <f>5255+32751</f>
        <v>38006</v>
      </c>
      <c r="N37" s="66">
        <f>1629+24590</f>
        <v>26219</v>
      </c>
      <c r="O37" s="66">
        <v>376</v>
      </c>
      <c r="P37" s="66">
        <v>10280.54</v>
      </c>
      <c r="Q37" s="109"/>
    </row>
    <row r="38" spans="1:17" ht="15" customHeight="1">
      <c r="A38" s="76"/>
      <c r="B38" s="351" t="s">
        <v>219</v>
      </c>
      <c r="C38" s="66"/>
      <c r="D38" s="66"/>
      <c r="E38" s="66"/>
      <c r="F38" s="66"/>
      <c r="G38" s="66"/>
      <c r="H38" s="66"/>
      <c r="I38" s="1"/>
      <c r="J38" s="66"/>
      <c r="K38" s="66"/>
      <c r="L38" s="66"/>
      <c r="M38" s="66"/>
      <c r="N38" s="66"/>
      <c r="O38" s="66"/>
      <c r="P38" s="66"/>
      <c r="Q38" s="109"/>
    </row>
    <row r="39" spans="1:17" s="227" customFormat="1" ht="15" customHeight="1">
      <c r="A39" s="229" t="s">
        <v>505</v>
      </c>
      <c r="B39" s="352" t="s">
        <v>27</v>
      </c>
      <c r="C39" s="67">
        <f>SUM(D39:P39)+SUM('6-3-1鄉預出續'!C40:O40)</f>
        <v>217664</v>
      </c>
      <c r="D39" s="67">
        <f>17221+1000</f>
        <v>18221</v>
      </c>
      <c r="E39" s="67">
        <f>17263+850</f>
        <v>18113</v>
      </c>
      <c r="F39" s="67">
        <f>20076+3756</f>
        <v>23832</v>
      </c>
      <c r="G39" s="67">
        <v>547</v>
      </c>
      <c r="H39" s="67">
        <v>10498</v>
      </c>
      <c r="I39" s="233">
        <v>0</v>
      </c>
      <c r="J39" s="67">
        <f>6452+1050</f>
        <v>7502</v>
      </c>
      <c r="K39" s="67">
        <f>26026+8660</f>
        <v>34686</v>
      </c>
      <c r="L39" s="67">
        <v>0</v>
      </c>
      <c r="M39" s="67">
        <f>5315+36700</f>
        <v>42015</v>
      </c>
      <c r="N39" s="67">
        <f>2013+23450</f>
        <v>25463</v>
      </c>
      <c r="O39" s="67">
        <f>390</f>
        <v>390</v>
      </c>
      <c r="P39" s="67">
        <f>10308</f>
        <v>10308</v>
      </c>
      <c r="Q39" s="242"/>
    </row>
    <row r="40" spans="1:17" ht="15" customHeight="1">
      <c r="A40" s="229"/>
      <c r="B40" s="353" t="s">
        <v>218</v>
      </c>
      <c r="C40" s="67"/>
      <c r="D40" s="66"/>
      <c r="E40" s="66"/>
      <c r="F40" s="66"/>
      <c r="G40" s="66"/>
      <c r="H40" s="66"/>
      <c r="I40" s="1"/>
      <c r="J40" s="66"/>
      <c r="K40" s="66"/>
      <c r="L40" s="66"/>
      <c r="M40" s="66"/>
      <c r="N40" s="66"/>
      <c r="O40" s="66"/>
      <c r="P40" s="66"/>
      <c r="Q40" s="109"/>
    </row>
    <row r="41" spans="1:17" ht="15" customHeight="1">
      <c r="A41" s="228" t="s">
        <v>507</v>
      </c>
      <c r="B41" s="354" t="s">
        <v>4</v>
      </c>
      <c r="C41" s="67">
        <f>SUM(D41:P41)+SUM('6-3-1鄉預出續'!C42:O42)</f>
        <v>365589.956</v>
      </c>
      <c r="D41" s="66">
        <f>17437+1197</f>
        <v>18634</v>
      </c>
      <c r="E41" s="66">
        <f>17363+4250</f>
        <v>21613</v>
      </c>
      <c r="F41" s="66">
        <f>21660.634+13567</f>
        <v>35227.634</v>
      </c>
      <c r="G41" s="66">
        <v>547</v>
      </c>
      <c r="H41" s="66">
        <v>12046</v>
      </c>
      <c r="I41" s="1">
        <v>0</v>
      </c>
      <c r="J41" s="66">
        <f>7755.95+1324.36</f>
        <v>9080.31</v>
      </c>
      <c r="K41" s="66">
        <f>54807+26482</f>
        <v>81289</v>
      </c>
      <c r="L41" s="66">
        <v>0</v>
      </c>
      <c r="M41" s="66">
        <f>5315+80501</f>
        <v>85816</v>
      </c>
      <c r="N41" s="66">
        <f>2013+60047</f>
        <v>62060</v>
      </c>
      <c r="O41" s="66">
        <f>390</f>
        <v>390</v>
      </c>
      <c r="P41" s="66">
        <f>10232</f>
        <v>10232</v>
      </c>
      <c r="Q41" s="109"/>
    </row>
    <row r="42" spans="1:17" ht="15" customHeight="1">
      <c r="A42" s="76"/>
      <c r="B42" s="351" t="s">
        <v>219</v>
      </c>
      <c r="C42" s="66"/>
      <c r="D42" s="66"/>
      <c r="E42" s="66"/>
      <c r="F42" s="66"/>
      <c r="G42" s="66"/>
      <c r="H42" s="66"/>
      <c r="I42" s="1"/>
      <c r="J42" s="66"/>
      <c r="K42" s="66"/>
      <c r="L42" s="66"/>
      <c r="M42" s="66"/>
      <c r="N42" s="66"/>
      <c r="O42" s="66"/>
      <c r="P42" s="66"/>
      <c r="Q42" s="109"/>
    </row>
    <row r="43" spans="1:16" s="227" customFormat="1" ht="15" customHeight="1">
      <c r="A43" s="229" t="s">
        <v>514</v>
      </c>
      <c r="B43" s="352" t="s">
        <v>27</v>
      </c>
      <c r="C43" s="67">
        <f>SUM(D43:P43)+SUM('6-3-1鄉預出續'!C44:O44)</f>
        <v>208926</v>
      </c>
      <c r="D43" s="67">
        <f>14111+1350</f>
        <v>15461</v>
      </c>
      <c r="E43" s="67">
        <f>20377+4204</f>
        <v>24581</v>
      </c>
      <c r="F43" s="67">
        <f>22394+2307</f>
        <v>24701</v>
      </c>
      <c r="G43" s="67">
        <v>577</v>
      </c>
      <c r="H43" s="67">
        <v>8315</v>
      </c>
      <c r="I43" s="233">
        <v>0</v>
      </c>
      <c r="J43" s="67">
        <f>7250+151</f>
        <v>7401</v>
      </c>
      <c r="K43" s="67">
        <f>21533+33911</f>
        <v>55444</v>
      </c>
      <c r="L43" s="67">
        <v>0</v>
      </c>
      <c r="M43" s="67">
        <f>5294+4600</f>
        <v>9894</v>
      </c>
      <c r="N43" s="67">
        <f>2115+15250</f>
        <v>17365</v>
      </c>
      <c r="O43" s="67">
        <v>420</v>
      </c>
      <c r="P43" s="67">
        <v>12858</v>
      </c>
    </row>
    <row r="44" spans="1:16" ht="15" customHeight="1">
      <c r="A44" s="229"/>
      <c r="B44" s="353" t="s">
        <v>218</v>
      </c>
      <c r="C44" s="67"/>
      <c r="D44" s="66"/>
      <c r="E44" s="66"/>
      <c r="F44" s="66"/>
      <c r="G44" s="66"/>
      <c r="H44" s="66"/>
      <c r="I44" s="1"/>
      <c r="J44" s="66"/>
      <c r="K44" s="66"/>
      <c r="L44" s="66"/>
      <c r="M44" s="66"/>
      <c r="N44" s="66"/>
      <c r="O44" s="66"/>
      <c r="P44" s="66"/>
    </row>
    <row r="45" spans="1:16" ht="15" customHeight="1">
      <c r="A45" s="228" t="s">
        <v>515</v>
      </c>
      <c r="B45" s="354" t="s">
        <v>4</v>
      </c>
      <c r="C45" s="67">
        <f>SUM(D45:P45)+SUM('6-3-1鄉預出續'!C46:O46)</f>
        <v>315752</v>
      </c>
      <c r="D45" s="66">
        <f>14438+1449</f>
        <v>15887</v>
      </c>
      <c r="E45" s="66">
        <f>20468+8204</f>
        <v>28672</v>
      </c>
      <c r="F45" s="66">
        <f>26370+8372</f>
        <v>34742</v>
      </c>
      <c r="G45" s="66">
        <v>1199</v>
      </c>
      <c r="H45" s="66">
        <v>8295</v>
      </c>
      <c r="I45" s="1">
        <v>0</v>
      </c>
      <c r="J45" s="66">
        <f>9092+3286</f>
        <v>12378</v>
      </c>
      <c r="K45" s="66">
        <f>31384+19800</f>
        <v>51184</v>
      </c>
      <c r="L45" s="66">
        <v>0</v>
      </c>
      <c r="M45" s="66">
        <f>5294+28338</f>
        <v>33632</v>
      </c>
      <c r="N45" s="66">
        <f>2115+75803</f>
        <v>77918</v>
      </c>
      <c r="O45" s="66">
        <f>420+7209</f>
        <v>7629</v>
      </c>
      <c r="P45" s="66">
        <v>13551</v>
      </c>
    </row>
    <row r="46" spans="1:16" ht="15" customHeight="1">
      <c r="A46" s="76"/>
      <c r="B46" s="351" t="s">
        <v>219</v>
      </c>
      <c r="C46" s="66"/>
      <c r="D46" s="66"/>
      <c r="E46" s="66"/>
      <c r="F46" s="66"/>
      <c r="G46" s="66"/>
      <c r="H46" s="66"/>
      <c r="I46" s="1"/>
      <c r="J46" s="66"/>
      <c r="K46" s="66"/>
      <c r="L46" s="66"/>
      <c r="M46" s="66"/>
      <c r="N46" s="66"/>
      <c r="O46" s="66"/>
      <c r="P46" s="66"/>
    </row>
    <row r="47" spans="1:16" s="227" customFormat="1" ht="15" customHeight="1">
      <c r="A47" s="229" t="s">
        <v>520</v>
      </c>
      <c r="B47" s="352" t="s">
        <v>27</v>
      </c>
      <c r="C47" s="67">
        <f>SUM(D47:P47)+SUM('6-3-1鄉預出續'!C48:O48)</f>
        <v>202333</v>
      </c>
      <c r="D47" s="67">
        <f>16335+1850</f>
        <v>18185</v>
      </c>
      <c r="E47" s="67">
        <f>19684+1500</f>
        <v>21184</v>
      </c>
      <c r="F47" s="67">
        <f>21902+2350</f>
        <v>24252</v>
      </c>
      <c r="G47" s="67">
        <v>620</v>
      </c>
      <c r="H47" s="67">
        <v>4990</v>
      </c>
      <c r="I47" s="233">
        <v>0</v>
      </c>
      <c r="J47" s="67">
        <f>8097+261</f>
        <v>8358</v>
      </c>
      <c r="K47" s="67">
        <f>12430+22780</f>
        <v>35210</v>
      </c>
      <c r="L47" s="67">
        <v>0</v>
      </c>
      <c r="M47" s="67">
        <f>5517+4600</f>
        <v>10117</v>
      </c>
      <c r="N47" s="67">
        <f>10169+23000</f>
        <v>33169</v>
      </c>
      <c r="O47" s="67">
        <v>436</v>
      </c>
      <c r="P47" s="67">
        <v>13093</v>
      </c>
    </row>
    <row r="48" spans="1:16" ht="15" customHeight="1">
      <c r="A48" s="229"/>
      <c r="B48" s="353" t="s">
        <v>218</v>
      </c>
      <c r="C48" s="67"/>
      <c r="D48" s="66"/>
      <c r="E48" s="66"/>
      <c r="F48" s="66"/>
      <c r="G48" s="66"/>
      <c r="H48" s="66"/>
      <c r="I48" s="1"/>
      <c r="J48" s="66"/>
      <c r="K48" s="66"/>
      <c r="L48" s="66"/>
      <c r="M48" s="66"/>
      <c r="N48" s="66"/>
      <c r="O48" s="66"/>
      <c r="P48" s="66"/>
    </row>
    <row r="49" spans="1:16" s="227" customFormat="1" ht="15" customHeight="1">
      <c r="A49" s="228" t="s">
        <v>521</v>
      </c>
      <c r="B49" s="354" t="s">
        <v>4</v>
      </c>
      <c r="C49" s="67">
        <f>SUM(D49:P49)+SUM('6-3-1鄉預出續'!C50:O50)</f>
        <v>352459</v>
      </c>
      <c r="D49" s="67">
        <f>16405+3746</f>
        <v>20151</v>
      </c>
      <c r="E49" s="67">
        <f>19854+2400</f>
        <v>22254</v>
      </c>
      <c r="F49" s="67">
        <f>23608+26984</f>
        <v>50592</v>
      </c>
      <c r="G49" s="67">
        <v>620</v>
      </c>
      <c r="H49" s="67">
        <v>4990</v>
      </c>
      <c r="I49" s="233">
        <v>0</v>
      </c>
      <c r="J49" s="67">
        <f>9623+281</f>
        <v>9904</v>
      </c>
      <c r="K49" s="67">
        <f>88855+63088</f>
        <v>151943</v>
      </c>
      <c r="L49" s="67">
        <v>0</v>
      </c>
      <c r="M49" s="67">
        <f>5517+16931</f>
        <v>22448</v>
      </c>
      <c r="N49" s="67">
        <f>13539+5870</f>
        <v>19409</v>
      </c>
      <c r="O49" s="67">
        <v>436</v>
      </c>
      <c r="P49" s="67">
        <f>14457+4881</f>
        <v>19338</v>
      </c>
    </row>
    <row r="50" spans="1:16" ht="15" customHeight="1" thickBot="1">
      <c r="A50" s="53"/>
      <c r="B50" s="356" t="s">
        <v>219</v>
      </c>
      <c r="C50" s="68"/>
      <c r="D50" s="68"/>
      <c r="E50" s="68"/>
      <c r="F50" s="68"/>
      <c r="G50" s="68"/>
      <c r="H50" s="68"/>
      <c r="I50" s="2"/>
      <c r="J50" s="68"/>
      <c r="K50" s="68"/>
      <c r="L50" s="68"/>
      <c r="M50" s="68"/>
      <c r="N50" s="68"/>
      <c r="O50" s="68"/>
      <c r="P50" s="68"/>
    </row>
    <row r="51" ht="15.75">
      <c r="A51" s="99" t="s">
        <v>458</v>
      </c>
    </row>
  </sheetData>
  <sheetProtection/>
  <mergeCells count="1">
    <mergeCell ref="A5:B5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selection activeCell="B18" sqref="B18"/>
    </sheetView>
  </sheetViews>
  <sheetFormatPr defaultColWidth="9.00390625" defaultRowHeight="16.5"/>
  <cols>
    <col min="1" max="1" width="10.75390625" style="65" customWidth="1"/>
    <col min="2" max="2" width="11.75390625" style="65" customWidth="1"/>
    <col min="3" max="3" width="10.125" style="65" customWidth="1"/>
    <col min="4" max="4" width="11.25390625" style="65" customWidth="1"/>
    <col min="5" max="5" width="11.00390625" style="65" customWidth="1"/>
    <col min="6" max="7" width="10.50390625" style="65" customWidth="1"/>
    <col min="8" max="8" width="9.875" style="65" customWidth="1"/>
    <col min="9" max="9" width="12.00390625" style="65" customWidth="1"/>
    <col min="10" max="10" width="12.50390625" style="65" customWidth="1"/>
    <col min="11" max="11" width="10.875" style="65" customWidth="1"/>
    <col min="12" max="12" width="12.875" style="65" customWidth="1"/>
    <col min="13" max="13" width="14.125" style="65" customWidth="1"/>
    <col min="14" max="14" width="10.00390625" style="65" customWidth="1"/>
    <col min="15" max="15" width="12.00390625" style="65" customWidth="1"/>
    <col min="16" max="16" width="7.875" style="65" customWidth="1"/>
    <col min="17" max="16384" width="9.00390625" style="65" customWidth="1"/>
  </cols>
  <sheetData>
    <row r="1" spans="1:39" ht="15.75">
      <c r="A1" s="3" t="s">
        <v>465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486</v>
      </c>
      <c r="P1" s="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26" ht="21.75">
      <c r="A2" s="112" t="s">
        <v>426</v>
      </c>
      <c r="B2" s="112"/>
      <c r="C2" s="112"/>
      <c r="D2" s="112"/>
      <c r="E2" s="112"/>
      <c r="F2" s="112"/>
      <c r="G2" s="112"/>
      <c r="H2" s="112"/>
      <c r="I2" s="195" t="s">
        <v>427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6.5" customHeight="1">
      <c r="A3" s="115" t="s">
        <v>271</v>
      </c>
      <c r="B3" s="112"/>
      <c r="C3" s="112"/>
      <c r="D3" s="112"/>
      <c r="E3" s="112"/>
      <c r="F3" s="112"/>
      <c r="G3" s="112"/>
      <c r="H3" s="112"/>
      <c r="I3" s="115" t="s">
        <v>271</v>
      </c>
      <c r="J3" s="113"/>
      <c r="K3" s="113"/>
      <c r="L3" s="113"/>
      <c r="M3" s="112"/>
      <c r="N3" s="102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5" customHeight="1" thickBot="1">
      <c r="A4" s="172"/>
      <c r="B4" s="116"/>
      <c r="C4" s="112"/>
      <c r="D4" s="112"/>
      <c r="E4" s="112"/>
      <c r="F4" s="112"/>
      <c r="G4" s="112"/>
      <c r="H4" s="112"/>
      <c r="I4" s="113"/>
      <c r="J4" s="113"/>
      <c r="K4" s="113"/>
      <c r="L4" s="113"/>
      <c r="M4" s="112"/>
      <c r="N4" s="347" t="s">
        <v>56</v>
      </c>
      <c r="O4" s="347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4.75" customHeight="1">
      <c r="A5" s="177" t="s">
        <v>260</v>
      </c>
      <c r="B5" s="196"/>
      <c r="C5" s="150" t="s">
        <v>261</v>
      </c>
      <c r="D5" s="150" t="s">
        <v>362</v>
      </c>
      <c r="E5" s="150" t="s">
        <v>262</v>
      </c>
      <c r="F5" s="150" t="s">
        <v>263</v>
      </c>
      <c r="G5" s="150" t="s">
        <v>264</v>
      </c>
      <c r="H5" s="150" t="s">
        <v>265</v>
      </c>
      <c r="I5" s="159" t="s">
        <v>266</v>
      </c>
      <c r="J5" s="150" t="s">
        <v>175</v>
      </c>
      <c r="K5" s="150" t="s">
        <v>169</v>
      </c>
      <c r="L5" s="150" t="s">
        <v>282</v>
      </c>
      <c r="M5" s="150" t="s">
        <v>267</v>
      </c>
      <c r="N5" s="150" t="s">
        <v>268</v>
      </c>
      <c r="O5" s="126" t="s">
        <v>269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15" ht="46.5" customHeight="1" thickBot="1">
      <c r="A6" s="181" t="s">
        <v>223</v>
      </c>
      <c r="B6" s="123"/>
      <c r="C6" s="197" t="s">
        <v>270</v>
      </c>
      <c r="D6" s="154" t="s">
        <v>272</v>
      </c>
      <c r="E6" s="154" t="s">
        <v>157</v>
      </c>
      <c r="F6" s="154" t="s">
        <v>273</v>
      </c>
      <c r="G6" s="154" t="s">
        <v>274</v>
      </c>
      <c r="H6" s="154" t="s">
        <v>275</v>
      </c>
      <c r="I6" s="152" t="s">
        <v>276</v>
      </c>
      <c r="J6" s="152" t="s">
        <v>277</v>
      </c>
      <c r="K6" s="154" t="s">
        <v>278</v>
      </c>
      <c r="L6" s="154" t="s">
        <v>279</v>
      </c>
      <c r="M6" s="154" t="s">
        <v>280</v>
      </c>
      <c r="N6" s="154" t="s">
        <v>281</v>
      </c>
      <c r="O6" s="198" t="s">
        <v>283</v>
      </c>
    </row>
    <row r="7" spans="1:57" ht="15" customHeight="1" hidden="1">
      <c r="A7" s="88" t="s">
        <v>363</v>
      </c>
      <c r="B7" s="59" t="s">
        <v>57</v>
      </c>
      <c r="C7" s="66">
        <v>1264</v>
      </c>
      <c r="D7" s="66">
        <v>0</v>
      </c>
      <c r="E7" s="66">
        <v>0</v>
      </c>
      <c r="F7" s="66">
        <v>0</v>
      </c>
      <c r="G7" s="66">
        <v>2571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5000</v>
      </c>
      <c r="O7" s="66">
        <v>661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</row>
    <row r="8" spans="1:57" ht="15" customHeight="1" hidden="1">
      <c r="A8" s="88"/>
      <c r="B8" s="158" t="s">
        <v>284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</row>
    <row r="9" spans="1:57" ht="15" customHeight="1" hidden="1">
      <c r="A9" s="138" t="s">
        <v>326</v>
      </c>
      <c r="B9" s="89" t="s">
        <v>4</v>
      </c>
      <c r="C9" s="66">
        <v>4210</v>
      </c>
      <c r="D9" s="66">
        <v>0</v>
      </c>
      <c r="E9" s="66">
        <v>0</v>
      </c>
      <c r="F9" s="66">
        <v>0</v>
      </c>
      <c r="G9" s="66">
        <v>5671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3757</v>
      </c>
      <c r="O9" s="66">
        <v>661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15" customHeight="1" hidden="1">
      <c r="A10" s="76"/>
      <c r="B10" s="188" t="s">
        <v>285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</row>
    <row r="11" spans="1:57" ht="6" customHeight="1">
      <c r="A11" s="76"/>
      <c r="B11" s="188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</row>
    <row r="12" spans="1:16" ht="15" customHeight="1">
      <c r="A12" s="88" t="s">
        <v>327</v>
      </c>
      <c r="B12" s="59" t="s">
        <v>57</v>
      </c>
      <c r="C12" s="66">
        <v>10429</v>
      </c>
      <c r="D12" s="66">
        <v>0</v>
      </c>
      <c r="E12" s="66">
        <v>0</v>
      </c>
      <c r="F12" s="66">
        <v>283</v>
      </c>
      <c r="G12" s="66">
        <v>2953</v>
      </c>
      <c r="H12" s="66">
        <v>6009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5000</v>
      </c>
      <c r="O12" s="66">
        <v>135</v>
      </c>
      <c r="P12" s="73"/>
    </row>
    <row r="13" spans="1:16" ht="15" customHeight="1">
      <c r="A13" s="88" t="s">
        <v>328</v>
      </c>
      <c r="B13" s="158" t="s">
        <v>284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73"/>
    </row>
    <row r="14" spans="1:16" ht="15" customHeight="1">
      <c r="A14" s="211" t="s">
        <v>329</v>
      </c>
      <c r="B14" s="89" t="s">
        <v>4</v>
      </c>
      <c r="C14" s="66">
        <v>7312</v>
      </c>
      <c r="D14" s="66">
        <v>0</v>
      </c>
      <c r="E14" s="66">
        <v>0</v>
      </c>
      <c r="F14" s="66">
        <v>101</v>
      </c>
      <c r="G14" s="66">
        <v>4533</v>
      </c>
      <c r="H14" s="66">
        <v>7709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3272</v>
      </c>
      <c r="O14" s="66">
        <v>135</v>
      </c>
      <c r="P14" s="73"/>
    </row>
    <row r="15" spans="1:16" ht="15" customHeight="1">
      <c r="A15" s="92"/>
      <c r="B15" s="188" t="s">
        <v>285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73"/>
    </row>
    <row r="16" spans="1:16" ht="15" customHeight="1">
      <c r="A16" s="88" t="s">
        <v>364</v>
      </c>
      <c r="B16" s="59" t="s">
        <v>57</v>
      </c>
      <c r="C16" s="66">
        <v>3967</v>
      </c>
      <c r="D16" s="66">
        <v>0</v>
      </c>
      <c r="E16" s="66">
        <v>0</v>
      </c>
      <c r="F16" s="66">
        <v>3</v>
      </c>
      <c r="G16" s="66">
        <v>2391</v>
      </c>
      <c r="H16" s="66">
        <v>6666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5000</v>
      </c>
      <c r="O16" s="66">
        <v>200</v>
      </c>
      <c r="P16" s="121"/>
    </row>
    <row r="17" spans="1:16" ht="15" customHeight="1">
      <c r="A17" s="88"/>
      <c r="B17" s="158" t="s">
        <v>284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21"/>
    </row>
    <row r="18" spans="1:16" ht="15" customHeight="1">
      <c r="A18" s="138" t="s">
        <v>330</v>
      </c>
      <c r="B18" s="89" t="s">
        <v>4</v>
      </c>
      <c r="C18" s="66">
        <v>3972</v>
      </c>
      <c r="D18" s="66">
        <v>0</v>
      </c>
      <c r="E18" s="66">
        <v>0</v>
      </c>
      <c r="F18" s="66">
        <v>3</v>
      </c>
      <c r="G18" s="66">
        <v>2755</v>
      </c>
      <c r="H18" s="66">
        <v>5766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4980</v>
      </c>
      <c r="O18" s="66">
        <v>40</v>
      </c>
      <c r="P18" s="73"/>
    </row>
    <row r="19" spans="1:16" ht="15" customHeight="1">
      <c r="A19" s="76"/>
      <c r="B19" s="188" t="s">
        <v>285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73"/>
    </row>
    <row r="20" spans="1:16" ht="15" customHeight="1">
      <c r="A20" s="88" t="s">
        <v>331</v>
      </c>
      <c r="B20" s="59" t="s">
        <v>57</v>
      </c>
      <c r="C20" s="66">
        <v>4420</v>
      </c>
      <c r="D20" s="66">
        <v>0</v>
      </c>
      <c r="E20" s="66">
        <v>0</v>
      </c>
      <c r="F20" s="66">
        <v>46</v>
      </c>
      <c r="G20" s="66">
        <v>2951</v>
      </c>
      <c r="H20" s="66">
        <v>8838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2000</v>
      </c>
      <c r="O20" s="66">
        <v>300</v>
      </c>
      <c r="P20" s="73"/>
    </row>
    <row r="21" spans="1:16" ht="15" customHeight="1">
      <c r="A21" s="88"/>
      <c r="B21" s="158" t="s">
        <v>284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73"/>
    </row>
    <row r="22" spans="1:15" s="73" customFormat="1" ht="15" customHeight="1">
      <c r="A22" s="211" t="s">
        <v>332</v>
      </c>
      <c r="B22" s="89" t="s">
        <v>4</v>
      </c>
      <c r="C22" s="66">
        <v>4554</v>
      </c>
      <c r="D22" s="66">
        <v>0</v>
      </c>
      <c r="E22" s="66">
        <v>0</v>
      </c>
      <c r="F22" s="66">
        <v>46</v>
      </c>
      <c r="G22" s="66">
        <v>26701</v>
      </c>
      <c r="H22" s="66">
        <v>8282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1700</v>
      </c>
      <c r="O22" s="66">
        <v>300</v>
      </c>
    </row>
    <row r="23" spans="1:15" s="73" customFormat="1" ht="15" customHeight="1">
      <c r="A23" s="92"/>
      <c r="B23" s="188" t="s">
        <v>285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s="73" customFormat="1" ht="15" customHeight="1">
      <c r="A24" s="88" t="s">
        <v>333</v>
      </c>
      <c r="B24" s="59" t="s">
        <v>57</v>
      </c>
      <c r="C24" s="66">
        <v>4757</v>
      </c>
      <c r="D24" s="66">
        <v>0</v>
      </c>
      <c r="E24" s="66">
        <v>0</v>
      </c>
      <c r="F24" s="66">
        <v>73</v>
      </c>
      <c r="G24" s="66">
        <v>3619</v>
      </c>
      <c r="H24" s="66">
        <v>6281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2000</v>
      </c>
      <c r="O24" s="66">
        <v>795</v>
      </c>
    </row>
    <row r="25" spans="1:15" s="73" customFormat="1" ht="15" customHeight="1">
      <c r="A25" s="88"/>
      <c r="B25" s="158" t="s">
        <v>284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6" ht="15" customHeight="1">
      <c r="A26" s="138" t="s">
        <v>334</v>
      </c>
      <c r="B26" s="89" t="s">
        <v>4</v>
      </c>
      <c r="C26" s="66">
        <v>4837</v>
      </c>
      <c r="D26" s="66">
        <v>0</v>
      </c>
      <c r="E26" s="66">
        <v>0</v>
      </c>
      <c r="F26" s="66">
        <v>193</v>
      </c>
      <c r="G26" s="66">
        <v>3619</v>
      </c>
      <c r="H26" s="66">
        <v>6281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2000</v>
      </c>
      <c r="O26" s="66">
        <v>795</v>
      </c>
      <c r="P26" s="73"/>
    </row>
    <row r="27" spans="1:16" ht="15" customHeight="1">
      <c r="A27" s="76"/>
      <c r="B27" s="188" t="s">
        <v>285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73"/>
    </row>
    <row r="28" spans="1:15" s="73" customFormat="1" ht="15" customHeight="1">
      <c r="A28" s="88" t="s">
        <v>335</v>
      </c>
      <c r="B28" s="59" t="s">
        <v>57</v>
      </c>
      <c r="C28" s="66">
        <v>4884</v>
      </c>
      <c r="D28" s="66">
        <v>0</v>
      </c>
      <c r="E28" s="66">
        <v>0</v>
      </c>
      <c r="F28" s="66">
        <v>200</v>
      </c>
      <c r="G28" s="66">
        <v>6174</v>
      </c>
      <c r="H28" s="66">
        <v>8120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5297</v>
      </c>
    </row>
    <row r="29" spans="1:15" s="73" customFormat="1" ht="15" customHeight="1">
      <c r="A29" s="88"/>
      <c r="B29" s="158" t="s">
        <v>284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6" ht="15" customHeight="1">
      <c r="A30" s="138" t="s">
        <v>336</v>
      </c>
      <c r="B30" s="89" t="s">
        <v>4</v>
      </c>
      <c r="C30" s="66">
        <v>5387</v>
      </c>
      <c r="D30" s="66">
        <v>0</v>
      </c>
      <c r="E30" s="66">
        <v>0</v>
      </c>
      <c r="F30" s="66">
        <v>400</v>
      </c>
      <c r="G30" s="66">
        <v>6404</v>
      </c>
      <c r="H30" s="66">
        <v>8120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5297</v>
      </c>
      <c r="P30" s="73"/>
    </row>
    <row r="31" spans="1:16" ht="15" customHeight="1">
      <c r="A31" s="76"/>
      <c r="B31" s="188" t="s">
        <v>285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73"/>
    </row>
    <row r="32" spans="1:15" s="73" customFormat="1" ht="15" customHeight="1">
      <c r="A32" s="88" t="s">
        <v>337</v>
      </c>
      <c r="B32" s="59" t="s">
        <v>57</v>
      </c>
      <c r="C32" s="66">
        <v>4975</v>
      </c>
      <c r="D32" s="66">
        <v>0</v>
      </c>
      <c r="E32" s="66">
        <v>0</v>
      </c>
      <c r="F32" s="66">
        <v>225</v>
      </c>
      <c r="G32" s="66">
        <v>4497</v>
      </c>
      <c r="H32" s="66">
        <v>7966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2795</v>
      </c>
    </row>
    <row r="33" spans="1:15" s="73" customFormat="1" ht="15" customHeight="1">
      <c r="A33" s="88"/>
      <c r="B33" s="158" t="s">
        <v>284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6" ht="15" customHeight="1">
      <c r="A34" s="138" t="s">
        <v>365</v>
      </c>
      <c r="B34" s="89" t="s">
        <v>4</v>
      </c>
      <c r="C34" s="66">
        <v>6487</v>
      </c>
      <c r="D34" s="66">
        <v>0</v>
      </c>
      <c r="E34" s="66">
        <v>0</v>
      </c>
      <c r="F34" s="66">
        <v>948</v>
      </c>
      <c r="G34" s="66">
        <v>12436</v>
      </c>
      <c r="H34" s="66">
        <v>7966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2795</v>
      </c>
      <c r="P34" s="73"/>
    </row>
    <row r="35" spans="1:16" ht="15" customHeight="1">
      <c r="A35" s="76"/>
      <c r="B35" s="188" t="s">
        <v>285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73"/>
    </row>
    <row r="36" spans="1:26" ht="15" customHeight="1">
      <c r="A36" s="88" t="s">
        <v>395</v>
      </c>
      <c r="B36" s="59" t="s">
        <v>57</v>
      </c>
      <c r="C36" s="66">
        <v>4965</v>
      </c>
      <c r="D36" s="66">
        <v>0</v>
      </c>
      <c r="E36" s="66">
        <v>0</v>
      </c>
      <c r="F36" s="66">
        <v>430</v>
      </c>
      <c r="G36" s="66">
        <v>4615</v>
      </c>
      <c r="H36" s="66">
        <v>4556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3">
        <v>0</v>
      </c>
      <c r="O36" s="63">
        <v>3795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15" customHeight="1">
      <c r="A37" s="88"/>
      <c r="B37" s="158" t="s">
        <v>284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3"/>
      <c r="O37" s="63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57" ht="15" customHeight="1">
      <c r="A38" s="138" t="s">
        <v>399</v>
      </c>
      <c r="B38" s="89" t="s">
        <v>4</v>
      </c>
      <c r="C38" s="66">
        <v>5727</v>
      </c>
      <c r="D38" s="66">
        <v>0</v>
      </c>
      <c r="E38" s="66">
        <v>0</v>
      </c>
      <c r="F38" s="66">
        <v>3912</v>
      </c>
      <c r="G38" s="66">
        <v>5075</v>
      </c>
      <c r="H38" s="66">
        <v>7826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3195</v>
      </c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</row>
    <row r="39" spans="1:57" ht="15" customHeight="1">
      <c r="A39" s="76"/>
      <c r="B39" s="188" t="s">
        <v>285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</row>
    <row r="40" spans="1:26" ht="15" customHeight="1">
      <c r="A40" s="88" t="s">
        <v>401</v>
      </c>
      <c r="B40" s="59" t="s">
        <v>57</v>
      </c>
      <c r="C40" s="66">
        <v>4806</v>
      </c>
      <c r="D40" s="66">
        <v>0</v>
      </c>
      <c r="E40" s="66">
        <v>0</v>
      </c>
      <c r="F40" s="66">
        <v>645</v>
      </c>
      <c r="G40" s="66">
        <v>6808</v>
      </c>
      <c r="H40" s="66">
        <v>5081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3">
        <v>0</v>
      </c>
      <c r="O40" s="63">
        <v>2695</v>
      </c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5" customHeight="1">
      <c r="A41" s="88"/>
      <c r="B41" s="158" t="s">
        <v>284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3"/>
      <c r="O41" s="63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57" ht="15" customHeight="1">
      <c r="A42" s="138" t="s">
        <v>400</v>
      </c>
      <c r="B42" s="89" t="s">
        <v>4</v>
      </c>
      <c r="C42" s="66">
        <v>4906</v>
      </c>
      <c r="D42" s="66">
        <v>0</v>
      </c>
      <c r="E42" s="66">
        <v>0</v>
      </c>
      <c r="F42" s="66">
        <v>673</v>
      </c>
      <c r="G42" s="66">
        <v>6888</v>
      </c>
      <c r="H42" s="66">
        <v>4792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1195</v>
      </c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</row>
    <row r="43" spans="1:57" ht="15" customHeight="1">
      <c r="A43" s="76"/>
      <c r="B43" s="188" t="s">
        <v>285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</row>
    <row r="44" spans="1:26" ht="15" customHeight="1">
      <c r="A44" s="88" t="s">
        <v>402</v>
      </c>
      <c r="B44" s="59" t="s">
        <v>57</v>
      </c>
      <c r="C44" s="66">
        <v>4505</v>
      </c>
      <c r="D44" s="66">
        <v>0</v>
      </c>
      <c r="E44" s="66">
        <v>0</v>
      </c>
      <c r="F44" s="66">
        <v>615</v>
      </c>
      <c r="G44" s="66">
        <v>9600</v>
      </c>
      <c r="H44" s="66">
        <v>5937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3">
        <v>1000</v>
      </c>
      <c r="O44" s="63">
        <v>695</v>
      </c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5" customHeight="1">
      <c r="A45" s="88"/>
      <c r="B45" s="158" t="s">
        <v>284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3"/>
      <c r="O45" s="63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57" ht="15" customHeight="1">
      <c r="A46" s="138" t="s">
        <v>403</v>
      </c>
      <c r="B46" s="89" t="s">
        <v>4</v>
      </c>
      <c r="C46" s="66">
        <v>4567</v>
      </c>
      <c r="D46" s="66">
        <v>0</v>
      </c>
      <c r="E46" s="66">
        <v>0</v>
      </c>
      <c r="F46" s="66">
        <v>614</v>
      </c>
      <c r="G46" s="66">
        <v>7800</v>
      </c>
      <c r="H46" s="66">
        <v>5705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500</v>
      </c>
      <c r="O46" s="66">
        <v>195</v>
      </c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</row>
    <row r="47" spans="1:57" ht="15" customHeight="1">
      <c r="A47" s="138"/>
      <c r="B47" s="188" t="s">
        <v>219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</row>
    <row r="48" spans="1:26" ht="15" customHeight="1">
      <c r="A48" s="88" t="s">
        <v>405</v>
      </c>
      <c r="B48" s="59" t="s">
        <v>27</v>
      </c>
      <c r="C48" s="66">
        <v>4566</v>
      </c>
      <c r="D48" s="66">
        <v>0</v>
      </c>
      <c r="E48" s="66">
        <v>0</v>
      </c>
      <c r="F48" s="66">
        <v>788</v>
      </c>
      <c r="G48" s="66">
        <v>8244</v>
      </c>
      <c r="H48" s="66">
        <v>4932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3">
        <v>1200</v>
      </c>
      <c r="O48" s="63">
        <v>1740</v>
      </c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15" customHeight="1">
      <c r="A49" s="88"/>
      <c r="B49" s="158" t="s">
        <v>284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3"/>
      <c r="O49" s="63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57" ht="15" customHeight="1">
      <c r="A50" s="138" t="s">
        <v>406</v>
      </c>
      <c r="B50" s="89" t="s">
        <v>4</v>
      </c>
      <c r="C50" s="66">
        <v>4566</v>
      </c>
      <c r="D50" s="66">
        <v>0</v>
      </c>
      <c r="E50" s="66">
        <v>0</v>
      </c>
      <c r="F50" s="66">
        <v>923</v>
      </c>
      <c r="G50" s="66">
        <v>8244</v>
      </c>
      <c r="H50" s="66">
        <v>4932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1005</v>
      </c>
      <c r="O50" s="66">
        <v>1740</v>
      </c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</row>
    <row r="51" spans="1:57" ht="15" customHeight="1">
      <c r="A51" s="76"/>
      <c r="B51" s="188" t="s">
        <v>219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</row>
    <row r="52" spans="1:57" s="107" customFormat="1" ht="15" customHeight="1" thickBot="1">
      <c r="A52" s="53"/>
      <c r="B52" s="221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</row>
    <row r="53" spans="1:57" ht="15.75">
      <c r="A53" s="99" t="s">
        <v>456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0"/>
      <c r="N53" s="110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</row>
    <row r="54" spans="3:57" ht="15.75">
      <c r="C54" s="95"/>
      <c r="D54" s="95"/>
      <c r="E54" s="95"/>
      <c r="F54" s="95"/>
      <c r="G54" s="95"/>
      <c r="H54" s="109"/>
      <c r="I54" s="109"/>
      <c r="J54" s="110"/>
      <c r="K54" s="109"/>
      <c r="L54" s="109"/>
      <c r="M54" s="109"/>
      <c r="N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</row>
    <row r="55" spans="3:14" ht="15.75">
      <c r="C55" s="95"/>
      <c r="D55" s="95"/>
      <c r="E55" s="95"/>
      <c r="F55" s="95"/>
      <c r="G55" s="95"/>
      <c r="H55" s="109"/>
      <c r="I55" s="109"/>
      <c r="J55" s="110"/>
      <c r="K55" s="109"/>
      <c r="L55" s="109"/>
      <c r="M55" s="109"/>
      <c r="N55" s="109"/>
    </row>
    <row r="56" spans="3:14" ht="15.75">
      <c r="C56" s="102"/>
      <c r="D56" s="102"/>
      <c r="E56" s="102"/>
      <c r="F56" s="102"/>
      <c r="G56" s="102"/>
      <c r="H56" s="101"/>
      <c r="I56" s="102"/>
      <c r="J56" s="102"/>
      <c r="K56" s="102"/>
      <c r="L56" s="102"/>
      <c r="M56" s="102"/>
      <c r="N56" s="102"/>
    </row>
    <row r="57" spans="3:14" ht="15.75">
      <c r="C57" s="102"/>
      <c r="D57" s="102"/>
      <c r="E57" s="102"/>
      <c r="F57" s="102"/>
      <c r="H57" s="101"/>
      <c r="I57" s="102"/>
      <c r="J57" s="102"/>
      <c r="K57" s="102"/>
      <c r="L57" s="102"/>
      <c r="M57" s="102"/>
      <c r="N57" s="102"/>
    </row>
  </sheetData>
  <sheetProtection/>
  <mergeCells count="1">
    <mergeCell ref="N4:O4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56"/>
  <sheetViews>
    <sheetView zoomScale="130" zoomScaleNormal="130" zoomScaleSheetLayoutView="100" zoomScalePageLayoutView="0" workbookViewId="0" topLeftCell="A1">
      <pane ySplit="6" topLeftCell="A41" activePane="bottomLeft" state="frozen"/>
      <selection pane="topLeft" activeCell="A1" sqref="A1"/>
      <selection pane="bottomLeft" activeCell="J43" sqref="J43"/>
    </sheetView>
  </sheetViews>
  <sheetFormatPr defaultColWidth="9.00390625" defaultRowHeight="16.5"/>
  <cols>
    <col min="1" max="1" width="10.75390625" style="65" customWidth="1"/>
    <col min="2" max="2" width="11.75390625" style="65" customWidth="1"/>
    <col min="3" max="3" width="10.125" style="65" customWidth="1"/>
    <col min="4" max="4" width="11.25390625" style="65" customWidth="1"/>
    <col min="5" max="5" width="11.00390625" style="65" customWidth="1"/>
    <col min="6" max="7" width="10.50390625" style="65" customWidth="1"/>
    <col min="8" max="8" width="9.875" style="65" customWidth="1"/>
    <col min="9" max="9" width="12.00390625" style="65" customWidth="1"/>
    <col min="10" max="10" width="12.50390625" style="65" customWidth="1"/>
    <col min="11" max="11" width="10.875" style="65" customWidth="1"/>
    <col min="12" max="12" width="12.875" style="65" customWidth="1"/>
    <col min="13" max="13" width="14.125" style="65" customWidth="1"/>
    <col min="14" max="14" width="10.00390625" style="65" customWidth="1"/>
    <col min="15" max="15" width="12.00390625" style="65" customWidth="1"/>
    <col min="16" max="16" width="7.875" style="65" customWidth="1"/>
    <col min="17" max="16384" width="9.00390625" style="65" customWidth="1"/>
  </cols>
  <sheetData>
    <row r="1" spans="1:39" ht="15.75">
      <c r="A1" s="3" t="s">
        <v>487</v>
      </c>
      <c r="B1" s="111"/>
      <c r="C1" s="7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4" t="s">
        <v>488</v>
      </c>
      <c r="P1" s="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1:26" ht="21.75">
      <c r="A2" s="112" t="s">
        <v>428</v>
      </c>
      <c r="B2" s="112"/>
      <c r="C2" s="112"/>
      <c r="D2" s="112"/>
      <c r="E2" s="112"/>
      <c r="F2" s="112"/>
      <c r="G2" s="112"/>
      <c r="H2" s="112"/>
      <c r="I2" s="195" t="s">
        <v>429</v>
      </c>
      <c r="J2" s="113"/>
      <c r="K2" s="113"/>
      <c r="L2" s="113"/>
      <c r="M2" s="112"/>
      <c r="N2" s="102"/>
      <c r="O2" s="102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ht="16.5" customHeight="1">
      <c r="A3" s="115" t="s">
        <v>271</v>
      </c>
      <c r="B3" s="112"/>
      <c r="C3" s="112"/>
      <c r="D3" s="112"/>
      <c r="E3" s="112"/>
      <c r="F3" s="112"/>
      <c r="G3" s="112"/>
      <c r="H3" s="112"/>
      <c r="I3" s="115" t="s">
        <v>271</v>
      </c>
      <c r="J3" s="113"/>
      <c r="K3" s="113"/>
      <c r="L3" s="113"/>
      <c r="M3" s="112"/>
      <c r="N3" s="102"/>
      <c r="O3" s="102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5" customHeight="1" thickBot="1">
      <c r="A4" s="172"/>
      <c r="B4" s="116"/>
      <c r="C4" s="112"/>
      <c r="D4" s="112"/>
      <c r="E4" s="112"/>
      <c r="F4" s="112"/>
      <c r="G4" s="112"/>
      <c r="H4" s="112"/>
      <c r="I4" s="113"/>
      <c r="J4" s="113"/>
      <c r="K4" s="113"/>
      <c r="L4" s="113"/>
      <c r="M4" s="112"/>
      <c r="N4" s="347" t="s">
        <v>56</v>
      </c>
      <c r="O4" s="347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24.75" customHeight="1">
      <c r="A5" s="177" t="s">
        <v>260</v>
      </c>
      <c r="B5" s="196"/>
      <c r="C5" s="150" t="s">
        <v>261</v>
      </c>
      <c r="D5" s="150" t="s">
        <v>362</v>
      </c>
      <c r="E5" s="150" t="s">
        <v>262</v>
      </c>
      <c r="F5" s="150" t="s">
        <v>263</v>
      </c>
      <c r="G5" s="150" t="s">
        <v>264</v>
      </c>
      <c r="H5" s="150" t="s">
        <v>265</v>
      </c>
      <c r="I5" s="159" t="s">
        <v>266</v>
      </c>
      <c r="J5" s="150" t="s">
        <v>175</v>
      </c>
      <c r="K5" s="150" t="s">
        <v>169</v>
      </c>
      <c r="L5" s="150" t="s">
        <v>282</v>
      </c>
      <c r="M5" s="150" t="s">
        <v>267</v>
      </c>
      <c r="N5" s="150" t="s">
        <v>268</v>
      </c>
      <c r="O5" s="126" t="s">
        <v>269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15" ht="46.5" customHeight="1" thickBot="1">
      <c r="A6" s="181" t="s">
        <v>223</v>
      </c>
      <c r="B6" s="123"/>
      <c r="C6" s="197" t="s">
        <v>270</v>
      </c>
      <c r="D6" s="154" t="s">
        <v>272</v>
      </c>
      <c r="E6" s="154" t="s">
        <v>157</v>
      </c>
      <c r="F6" s="154" t="s">
        <v>273</v>
      </c>
      <c r="G6" s="154" t="s">
        <v>274</v>
      </c>
      <c r="H6" s="154" t="s">
        <v>275</v>
      </c>
      <c r="I6" s="152" t="s">
        <v>276</v>
      </c>
      <c r="J6" s="152" t="s">
        <v>277</v>
      </c>
      <c r="K6" s="154" t="s">
        <v>278</v>
      </c>
      <c r="L6" s="154" t="s">
        <v>279</v>
      </c>
      <c r="M6" s="154" t="s">
        <v>280</v>
      </c>
      <c r="N6" s="154" t="s">
        <v>281</v>
      </c>
      <c r="O6" s="198" t="s">
        <v>283</v>
      </c>
    </row>
    <row r="7" spans="1:26" ht="15" customHeight="1" hidden="1">
      <c r="A7" s="88" t="s">
        <v>405</v>
      </c>
      <c r="B7" s="59" t="s">
        <v>57</v>
      </c>
      <c r="C7" s="66">
        <v>4566</v>
      </c>
      <c r="D7" s="66">
        <v>0</v>
      </c>
      <c r="E7" s="66">
        <v>0</v>
      </c>
      <c r="F7" s="66">
        <v>788</v>
      </c>
      <c r="G7" s="66">
        <v>8244</v>
      </c>
      <c r="H7" s="66">
        <v>4932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3">
        <v>1200</v>
      </c>
      <c r="O7" s="63">
        <v>1740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5" customHeight="1" hidden="1">
      <c r="A8" s="88"/>
      <c r="B8" s="158" t="s">
        <v>284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3"/>
      <c r="O8" s="63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57" ht="15" customHeight="1" hidden="1">
      <c r="A9" s="138" t="s">
        <v>406</v>
      </c>
      <c r="B9" s="89" t="s">
        <v>4</v>
      </c>
      <c r="C9" s="66">
        <v>4566</v>
      </c>
      <c r="D9" s="66">
        <v>0</v>
      </c>
      <c r="E9" s="66">
        <v>0</v>
      </c>
      <c r="F9" s="66">
        <v>923</v>
      </c>
      <c r="G9" s="66">
        <v>8244</v>
      </c>
      <c r="H9" s="66">
        <v>4932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1005</v>
      </c>
      <c r="O9" s="66">
        <v>1740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15" customHeight="1" hidden="1">
      <c r="A10" s="76"/>
      <c r="B10" s="188" t="s">
        <v>285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</row>
    <row r="11" spans="1:57" ht="6" customHeight="1">
      <c r="A11" s="76"/>
      <c r="B11" s="188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</row>
    <row r="12" spans="1:26" ht="15" customHeight="1">
      <c r="A12" s="88" t="s">
        <v>414</v>
      </c>
      <c r="B12" s="59" t="s">
        <v>57</v>
      </c>
      <c r="C12" s="66">
        <v>4624</v>
      </c>
      <c r="D12" s="66">
        <v>0</v>
      </c>
      <c r="E12" s="66">
        <v>0</v>
      </c>
      <c r="F12" s="66">
        <v>1018</v>
      </c>
      <c r="G12" s="66">
        <v>6980</v>
      </c>
      <c r="H12" s="66">
        <v>4550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3">
        <v>675</v>
      </c>
      <c r="O12" s="63">
        <v>1990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15" customHeight="1">
      <c r="A13" s="88"/>
      <c r="B13" s="158" t="s">
        <v>284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3"/>
      <c r="O13" s="63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57" ht="15" customHeight="1">
      <c r="A14" s="138" t="s">
        <v>415</v>
      </c>
      <c r="B14" s="89" t="s">
        <v>4</v>
      </c>
      <c r="C14" s="66">
        <f>4800+179</f>
        <v>4979</v>
      </c>
      <c r="D14" s="66">
        <v>0</v>
      </c>
      <c r="E14" s="66">
        <v>0</v>
      </c>
      <c r="F14" s="66">
        <v>2059</v>
      </c>
      <c r="G14" s="66">
        <f>8020.41+4325</f>
        <v>12345.41</v>
      </c>
      <c r="H14" s="66">
        <v>5380.598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1.192</v>
      </c>
      <c r="O14" s="66">
        <v>2113.4</v>
      </c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</row>
    <row r="15" spans="1:57" ht="15" customHeight="1">
      <c r="A15" s="76"/>
      <c r="B15" s="188" t="s">
        <v>285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</row>
    <row r="16" spans="1:26" ht="15" customHeight="1">
      <c r="A16" s="88" t="s">
        <v>416</v>
      </c>
      <c r="B16" s="59" t="s">
        <v>57</v>
      </c>
      <c r="C16" s="66">
        <v>4802</v>
      </c>
      <c r="D16" s="66">
        <v>0</v>
      </c>
      <c r="E16" s="66">
        <v>0</v>
      </c>
      <c r="F16" s="66">
        <v>1297</v>
      </c>
      <c r="G16" s="66">
        <v>7750</v>
      </c>
      <c r="H16" s="66">
        <v>6456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3">
        <v>1000</v>
      </c>
      <c r="O16" s="63">
        <v>2407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26" ht="15" customHeight="1">
      <c r="A17" s="88"/>
      <c r="B17" s="158" t="s">
        <v>284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3"/>
      <c r="O17" s="63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57" ht="15" customHeight="1">
      <c r="A18" s="138" t="s">
        <v>417</v>
      </c>
      <c r="B18" s="89" t="s">
        <v>4</v>
      </c>
      <c r="C18" s="66">
        <v>4908.51</v>
      </c>
      <c r="D18" s="66">
        <v>0</v>
      </c>
      <c r="E18" s="66">
        <v>0</v>
      </c>
      <c r="F18" s="66">
        <v>1345</v>
      </c>
      <c r="G18" s="66">
        <f>7400+1062</f>
        <v>8462</v>
      </c>
      <c r="H18" s="66">
        <v>8335.014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162.41</v>
      </c>
      <c r="O18" s="66">
        <v>2307</v>
      </c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</row>
    <row r="19" spans="1:57" ht="15" customHeight="1">
      <c r="A19" s="76"/>
      <c r="B19" s="188" t="s">
        <v>285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</row>
    <row r="20" spans="1:57" ht="15" customHeight="1">
      <c r="A20" s="88" t="s">
        <v>434</v>
      </c>
      <c r="B20" s="59" t="s">
        <v>57</v>
      </c>
      <c r="C20" s="66">
        <v>4921</v>
      </c>
      <c r="D20" s="66">
        <v>0</v>
      </c>
      <c r="E20" s="66">
        <v>0</v>
      </c>
      <c r="F20" s="66">
        <v>1274</v>
      </c>
      <c r="G20" s="66">
        <v>7763</v>
      </c>
      <c r="H20" s="66">
        <v>5292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3">
        <v>650</v>
      </c>
      <c r="O20" s="63">
        <v>2240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</row>
    <row r="21" spans="1:57" ht="15" customHeight="1">
      <c r="A21" s="88"/>
      <c r="B21" s="158" t="s">
        <v>284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3"/>
      <c r="O21" s="63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</row>
    <row r="22" spans="1:57" ht="15" customHeight="1">
      <c r="A22" s="138" t="s">
        <v>437</v>
      </c>
      <c r="B22" s="89" t="s">
        <v>4</v>
      </c>
      <c r="C22" s="66">
        <v>4941</v>
      </c>
      <c r="D22" s="66">
        <v>0</v>
      </c>
      <c r="E22" s="66">
        <v>0</v>
      </c>
      <c r="F22" s="66">
        <v>1784</v>
      </c>
      <c r="G22" s="66">
        <v>7993</v>
      </c>
      <c r="H22" s="66">
        <v>6109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52</v>
      </c>
      <c r="O22" s="66">
        <v>2040</v>
      </c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</row>
    <row r="23" spans="1:57" ht="15" customHeight="1">
      <c r="A23" s="76"/>
      <c r="B23" s="188" t="s">
        <v>285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</row>
    <row r="24" spans="1:57" ht="15" customHeight="1">
      <c r="A24" s="88" t="s">
        <v>438</v>
      </c>
      <c r="B24" s="59" t="s">
        <v>57</v>
      </c>
      <c r="C24" s="66">
        <v>4972</v>
      </c>
      <c r="D24" s="66">
        <v>0</v>
      </c>
      <c r="E24" s="66">
        <v>0</v>
      </c>
      <c r="F24" s="66">
        <v>1463</v>
      </c>
      <c r="G24" s="66">
        <v>7544</v>
      </c>
      <c r="H24" s="66">
        <v>6196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3">
        <v>500</v>
      </c>
      <c r="O24" s="63">
        <v>2500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</row>
    <row r="25" spans="1:57" ht="15" customHeight="1">
      <c r="A25" s="88"/>
      <c r="B25" s="158" t="s">
        <v>284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3"/>
      <c r="O25" s="63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</row>
    <row r="26" spans="1:57" ht="15" customHeight="1">
      <c r="A26" s="138" t="s">
        <v>440</v>
      </c>
      <c r="B26" s="89" t="s">
        <v>4</v>
      </c>
      <c r="C26" s="66">
        <v>4982</v>
      </c>
      <c r="D26" s="66">
        <v>0</v>
      </c>
      <c r="E26" s="66">
        <v>0</v>
      </c>
      <c r="F26" s="66">
        <v>1488</v>
      </c>
      <c r="G26" s="66">
        <v>8147.737</v>
      </c>
      <c r="H26" s="66">
        <v>6206.301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2.977</v>
      </c>
      <c r="O26" s="66">
        <v>2611</v>
      </c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</row>
    <row r="27" spans="1:57" ht="15" customHeight="1">
      <c r="A27" s="76"/>
      <c r="B27" s="188" t="s">
        <v>285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</row>
    <row r="28" spans="1:57" ht="15" customHeight="1">
      <c r="A28" s="88" t="s">
        <v>460</v>
      </c>
      <c r="B28" s="59" t="s">
        <v>57</v>
      </c>
      <c r="C28" s="66">
        <v>5650</v>
      </c>
      <c r="D28" s="66">
        <v>0</v>
      </c>
      <c r="E28" s="66">
        <v>0</v>
      </c>
      <c r="F28" s="66">
        <v>1358</v>
      </c>
      <c r="G28" s="66">
        <v>7654</v>
      </c>
      <c r="H28" s="66">
        <v>6506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1000</v>
      </c>
      <c r="O28" s="66">
        <f>900+1490</f>
        <v>2390</v>
      </c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</row>
    <row r="29" spans="1:57" ht="15" customHeight="1">
      <c r="A29" s="88"/>
      <c r="B29" s="158" t="s">
        <v>284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</row>
    <row r="30" spans="1:57" ht="15" customHeight="1">
      <c r="A30" s="138" t="s">
        <v>461</v>
      </c>
      <c r="B30" s="89" t="s">
        <v>4</v>
      </c>
      <c r="C30" s="66">
        <v>5690</v>
      </c>
      <c r="D30" s="66">
        <v>0</v>
      </c>
      <c r="E30" s="66">
        <v>0</v>
      </c>
      <c r="F30" s="66">
        <v>1369</v>
      </c>
      <c r="G30" s="66">
        <f>8430.135+45</f>
        <v>8475.135</v>
      </c>
      <c r="H30" s="66">
        <v>6506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35.433</v>
      </c>
      <c r="O30" s="66">
        <f>948.084+1490</f>
        <v>2438.084</v>
      </c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</row>
    <row r="31" spans="1:57" ht="15" customHeight="1">
      <c r="A31" s="76"/>
      <c r="B31" s="188" t="s">
        <v>285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</row>
    <row r="32" spans="1:57" ht="15" customHeight="1">
      <c r="A32" s="88" t="s">
        <v>470</v>
      </c>
      <c r="B32" s="59" t="s">
        <v>57</v>
      </c>
      <c r="C32" s="66">
        <v>573</v>
      </c>
      <c r="D32" s="66">
        <v>0</v>
      </c>
      <c r="E32" s="66">
        <v>0</v>
      </c>
      <c r="F32" s="66">
        <v>1368</v>
      </c>
      <c r="G32" s="66">
        <v>8707</v>
      </c>
      <c r="H32" s="66">
        <v>7206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1000</v>
      </c>
      <c r="O32" s="66">
        <f>960+1430</f>
        <v>2390</v>
      </c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</row>
    <row r="33" spans="1:57" ht="15" customHeight="1">
      <c r="A33" s="88"/>
      <c r="B33" s="158" t="s">
        <v>284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</row>
    <row r="34" spans="1:57" ht="15" customHeight="1">
      <c r="A34" s="138" t="s">
        <v>471</v>
      </c>
      <c r="B34" s="89" t="s">
        <v>4</v>
      </c>
      <c r="C34" s="66">
        <v>633</v>
      </c>
      <c r="D34" s="66">
        <v>0</v>
      </c>
      <c r="E34" s="66">
        <v>0</v>
      </c>
      <c r="F34" s="66">
        <v>1399</v>
      </c>
      <c r="G34" s="66">
        <f>9803.24+4080</f>
        <v>13883.24</v>
      </c>
      <c r="H34" s="66">
        <v>7241.685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134.845</v>
      </c>
      <c r="O34" s="66">
        <f>960+1430</f>
        <v>2390</v>
      </c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1:57" ht="15" customHeight="1">
      <c r="A35" s="76"/>
      <c r="B35" s="188" t="s">
        <v>285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</row>
    <row r="36" spans="1:57" ht="15" customHeight="1">
      <c r="A36" s="88" t="s">
        <v>497</v>
      </c>
      <c r="B36" s="59" t="s">
        <v>27</v>
      </c>
      <c r="C36" s="66">
        <v>573</v>
      </c>
      <c r="D36" s="66">
        <v>0</v>
      </c>
      <c r="E36" s="66">
        <v>0</v>
      </c>
      <c r="F36" s="66">
        <v>1310</v>
      </c>
      <c r="G36" s="66">
        <f>10419+700</f>
        <v>11119</v>
      </c>
      <c r="H36" s="66">
        <v>6561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1000</v>
      </c>
      <c r="O36" s="66">
        <f>1060+1620</f>
        <v>2680</v>
      </c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</row>
    <row r="37" spans="1:57" ht="15" customHeight="1">
      <c r="A37" s="88"/>
      <c r="B37" s="158" t="s">
        <v>284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</row>
    <row r="38" spans="1:57" ht="15" customHeight="1">
      <c r="A38" s="138" t="s">
        <v>498</v>
      </c>
      <c r="B38" s="89" t="s">
        <v>4</v>
      </c>
      <c r="C38" s="66">
        <v>633</v>
      </c>
      <c r="D38" s="66">
        <v>0</v>
      </c>
      <c r="E38" s="66">
        <v>0</v>
      </c>
      <c r="F38" s="66">
        <v>2268</v>
      </c>
      <c r="G38" s="66">
        <f>12146+5282</f>
        <v>17428</v>
      </c>
      <c r="H38" s="66">
        <v>6932.811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73.874</v>
      </c>
      <c r="O38" s="66">
        <f>1060+1620</f>
        <v>2680</v>
      </c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</row>
    <row r="39" spans="1:57" ht="15" customHeight="1">
      <c r="A39" s="76"/>
      <c r="B39" s="188" t="s">
        <v>219</v>
      </c>
      <c r="C39" s="66"/>
      <c r="D39" s="66"/>
      <c r="E39" s="66"/>
      <c r="F39" s="265"/>
      <c r="G39" s="66"/>
      <c r="H39" s="66"/>
      <c r="I39" s="66"/>
      <c r="J39" s="66"/>
      <c r="K39" s="66"/>
      <c r="L39" s="66"/>
      <c r="M39" s="66"/>
      <c r="N39" s="66"/>
      <c r="O39" s="66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</row>
    <row r="40" spans="1:57" ht="15" customHeight="1">
      <c r="A40" s="88" t="s">
        <v>505</v>
      </c>
      <c r="B40" s="59" t="s">
        <v>27</v>
      </c>
      <c r="C40" s="66">
        <v>755</v>
      </c>
      <c r="D40" s="66">
        <v>0</v>
      </c>
      <c r="E40" s="66">
        <v>0</v>
      </c>
      <c r="F40" s="66">
        <v>1450</v>
      </c>
      <c r="G40" s="66">
        <f>12296</f>
        <v>12296</v>
      </c>
      <c r="H40" s="66">
        <v>7328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1000</v>
      </c>
      <c r="O40" s="66">
        <f>1060+2200</f>
        <v>3260</v>
      </c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</row>
    <row r="41" spans="1:57" ht="15" customHeight="1">
      <c r="A41" s="88"/>
      <c r="B41" s="158" t="s">
        <v>284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</row>
    <row r="42" spans="1:57" ht="15" customHeight="1">
      <c r="A42" s="138" t="s">
        <v>507</v>
      </c>
      <c r="B42" s="89" t="s">
        <v>4</v>
      </c>
      <c r="C42" s="66">
        <f>815+1340</f>
        <v>2155</v>
      </c>
      <c r="D42" s="66">
        <v>0</v>
      </c>
      <c r="E42" s="66">
        <v>0</v>
      </c>
      <c r="F42" s="66">
        <v>2736</v>
      </c>
      <c r="G42" s="66">
        <f>13038.5</f>
        <v>13038.5</v>
      </c>
      <c r="H42" s="66">
        <v>7328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137.512</v>
      </c>
      <c r="O42" s="66">
        <f>1060+2200</f>
        <v>3260</v>
      </c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</row>
    <row r="43" spans="1:57" ht="15" customHeight="1">
      <c r="A43" s="76"/>
      <c r="B43" s="188" t="s">
        <v>219</v>
      </c>
      <c r="C43" s="66"/>
      <c r="D43" s="66"/>
      <c r="E43" s="66"/>
      <c r="F43" s="265"/>
      <c r="G43" s="66"/>
      <c r="H43" s="66"/>
      <c r="I43" s="66"/>
      <c r="J43" s="66"/>
      <c r="K43" s="66"/>
      <c r="L43" s="66"/>
      <c r="M43" s="66"/>
      <c r="N43" s="66"/>
      <c r="O43" s="66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</row>
    <row r="44" spans="1:16" s="227" customFormat="1" ht="15" customHeight="1">
      <c r="A44" s="229" t="s">
        <v>509</v>
      </c>
      <c r="B44" s="230" t="s">
        <v>27</v>
      </c>
      <c r="C44" s="67">
        <v>2830</v>
      </c>
      <c r="D44" s="67">
        <v>0</v>
      </c>
      <c r="E44" s="67">
        <v>0</v>
      </c>
      <c r="F44" s="67">
        <v>1530</v>
      </c>
      <c r="G44" s="67">
        <f>13341+600</f>
        <v>13941</v>
      </c>
      <c r="H44" s="67">
        <v>7348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3000</v>
      </c>
      <c r="O44" s="67">
        <f>1060+2200</f>
        <v>3260</v>
      </c>
      <c r="P44" s="264"/>
    </row>
    <row r="45" spans="1:16" ht="15" customHeight="1">
      <c r="A45" s="88"/>
      <c r="B45" s="158" t="s">
        <v>284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73"/>
    </row>
    <row r="46" spans="1:16" ht="15" customHeight="1">
      <c r="A46" s="138" t="s">
        <v>512</v>
      </c>
      <c r="B46" s="89" t="s">
        <v>4</v>
      </c>
      <c r="C46" s="66">
        <v>2590</v>
      </c>
      <c r="D46" s="66">
        <v>0</v>
      </c>
      <c r="E46" s="66">
        <v>0</v>
      </c>
      <c r="F46" s="66">
        <v>1957</v>
      </c>
      <c r="G46" s="66">
        <f>14816+600</f>
        <v>15416</v>
      </c>
      <c r="H46" s="66">
        <v>7348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194</v>
      </c>
      <c r="O46" s="66">
        <f>960+2200</f>
        <v>3160</v>
      </c>
      <c r="P46" s="73"/>
    </row>
    <row r="47" spans="1:16" ht="15" customHeight="1">
      <c r="A47" s="76"/>
      <c r="B47" s="188" t="s">
        <v>219</v>
      </c>
      <c r="C47" s="66"/>
      <c r="D47" s="66"/>
      <c r="E47" s="66"/>
      <c r="F47" s="265"/>
      <c r="G47" s="66"/>
      <c r="H47" s="66"/>
      <c r="I47" s="66"/>
      <c r="J47" s="66"/>
      <c r="K47" s="66"/>
      <c r="L47" s="66"/>
      <c r="M47" s="66"/>
      <c r="N47" s="66"/>
      <c r="O47" s="66"/>
      <c r="P47" s="73"/>
    </row>
    <row r="48" spans="1:16" s="227" customFormat="1" ht="15" customHeight="1">
      <c r="A48" s="229" t="s">
        <v>520</v>
      </c>
      <c r="B48" s="230" t="s">
        <v>27</v>
      </c>
      <c r="C48" s="67">
        <v>2261</v>
      </c>
      <c r="D48" s="67">
        <v>0</v>
      </c>
      <c r="E48" s="67">
        <v>0</v>
      </c>
      <c r="F48" s="67">
        <v>1353</v>
      </c>
      <c r="G48" s="67">
        <f>13855+2600</f>
        <v>16455</v>
      </c>
      <c r="H48" s="67">
        <v>6490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3000</v>
      </c>
      <c r="O48" s="67">
        <f>1060+2100</f>
        <v>3160</v>
      </c>
      <c r="P48" s="264"/>
    </row>
    <row r="49" spans="1:16" ht="15" customHeight="1">
      <c r="A49" s="88"/>
      <c r="B49" s="158" t="s">
        <v>284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73"/>
    </row>
    <row r="50" spans="1:16" s="227" customFormat="1" ht="15" customHeight="1">
      <c r="A50" s="228" t="s">
        <v>521</v>
      </c>
      <c r="B50" s="236" t="s">
        <v>4</v>
      </c>
      <c r="C50" s="67">
        <v>2321</v>
      </c>
      <c r="D50" s="67">
        <v>0</v>
      </c>
      <c r="E50" s="67">
        <v>0</v>
      </c>
      <c r="F50" s="67">
        <v>1850</v>
      </c>
      <c r="G50" s="67">
        <f>14272+1567</f>
        <v>15839</v>
      </c>
      <c r="H50" s="67">
        <v>7191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13</v>
      </c>
      <c r="O50" s="67">
        <f>1060+2100</f>
        <v>3160</v>
      </c>
      <c r="P50" s="264"/>
    </row>
    <row r="51" spans="1:16" ht="15" customHeight="1" thickBot="1">
      <c r="A51" s="53"/>
      <c r="B51" s="221" t="s">
        <v>219</v>
      </c>
      <c r="C51" s="68"/>
      <c r="D51" s="68"/>
      <c r="E51" s="68"/>
      <c r="F51" s="277"/>
      <c r="G51" s="68"/>
      <c r="H51" s="68"/>
      <c r="I51" s="68"/>
      <c r="J51" s="68"/>
      <c r="K51" s="68"/>
      <c r="L51" s="68"/>
      <c r="M51" s="68"/>
      <c r="N51" s="68"/>
      <c r="O51" s="68"/>
      <c r="P51" s="73"/>
    </row>
    <row r="52" spans="1:57" ht="15" customHeight="1">
      <c r="A52" s="99" t="s">
        <v>459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0"/>
      <c r="N52" s="110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</row>
    <row r="53" spans="3:57" ht="15.75">
      <c r="C53" s="95"/>
      <c r="D53" s="95"/>
      <c r="E53" s="95"/>
      <c r="F53" s="95"/>
      <c r="G53" s="95"/>
      <c r="H53" s="109"/>
      <c r="I53" s="109"/>
      <c r="J53" s="110"/>
      <c r="K53" s="109"/>
      <c r="L53" s="109"/>
      <c r="M53" s="109"/>
      <c r="N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</row>
    <row r="54" spans="3:14" ht="15.75">
      <c r="C54" s="95"/>
      <c r="D54" s="95"/>
      <c r="E54" s="95"/>
      <c r="F54" s="95"/>
      <c r="G54" s="95"/>
      <c r="H54" s="109"/>
      <c r="I54" s="109"/>
      <c r="J54" s="110"/>
      <c r="K54" s="109"/>
      <c r="L54" s="109"/>
      <c r="M54" s="109"/>
      <c r="N54" s="109"/>
    </row>
    <row r="55" spans="3:14" ht="15.75">
      <c r="C55" s="102"/>
      <c r="D55" s="102"/>
      <c r="E55" s="102"/>
      <c r="F55" s="102"/>
      <c r="G55" s="102"/>
      <c r="H55" s="101"/>
      <c r="I55" s="102"/>
      <c r="J55" s="102"/>
      <c r="K55" s="102"/>
      <c r="L55" s="102"/>
      <c r="M55" s="102"/>
      <c r="N55" s="102"/>
    </row>
    <row r="56" spans="3:14" ht="15.75">
      <c r="C56" s="102"/>
      <c r="D56" s="102"/>
      <c r="E56" s="102"/>
      <c r="F56" s="102"/>
      <c r="H56" s="101"/>
      <c r="I56" s="102"/>
      <c r="J56" s="102"/>
      <c r="K56" s="102"/>
      <c r="L56" s="102"/>
      <c r="M56" s="102"/>
      <c r="N56" s="102"/>
    </row>
  </sheetData>
  <sheetProtection/>
  <mergeCells count="1">
    <mergeCell ref="N4:O4"/>
  </mergeCells>
  <printOptions/>
  <pageMargins left="0.7480314960629921" right="0.7480314960629921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2020-10-27T01:49:31Z</cp:lastPrinted>
  <dcterms:created xsi:type="dcterms:W3CDTF">2002-08-05T03:52:14Z</dcterms:created>
  <dcterms:modified xsi:type="dcterms:W3CDTF">2020-10-27T01:49:40Z</dcterms:modified>
  <cp:category/>
  <cp:version/>
  <cp:contentType/>
  <cp:contentStatus/>
</cp:coreProperties>
</file>